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https://d.docs.live.net/aace9d7e5e1c3453/Aktif/"/>
    </mc:Choice>
  </mc:AlternateContent>
  <xr:revisionPtr revIDLastSave="234" documentId="13_ncr:1_{80884685-3129-4062-A47A-37FEDEEBA9C3}" xr6:coauthVersionLast="47" xr6:coauthVersionMax="47" xr10:uidLastSave="{DFFA1196-52D3-4200-A3D4-FF0639E648B5}"/>
  <bookViews>
    <workbookView xWindow="-83" yWindow="0" windowWidth="10965" windowHeight="12983" tabRatio="572" firstSheet="21" activeTab="21" xr2:uid="{00000000-000D-0000-FFFF-FFFF00000000}"/>
  </bookViews>
  <sheets>
    <sheet name="Input" sheetId="7" r:id="rId1"/>
    <sheet name="PA.Srt1" sheetId="57" r:id="rId2"/>
    <sheet name="PPK.Pers" sheetId="70" r:id="rId3"/>
    <sheet name="PPK.Spek" sheetId="52" r:id="rId4"/>
    <sheet name="Pembanding" sheetId="75" r:id="rId5"/>
    <sheet name="PPK.HPS" sheetId="71" r:id="rId6"/>
    <sheet name="spk.B" sheetId="68" r:id="rId7"/>
    <sheet name="spk.PK" sheetId="61" r:id="rId8"/>
    <sheet name="PPK.Srt1" sheetId="60" r:id="rId9"/>
    <sheet name="PP.Rev" sheetId="76" r:id="rId10"/>
    <sheet name="PP.Srt1" sheetId="54" r:id="rId11"/>
    <sheet name="PP.Eval.B" sheetId="55" r:id="rId12"/>
    <sheet name="Nego" sheetId="56" r:id="rId13"/>
    <sheet name="PP.Srt2" sheetId="74" r:id="rId14"/>
    <sheet name="PPK.B" sheetId="51" r:id="rId15"/>
    <sheet name="PPK.PK" sheetId="64" r:id="rId16"/>
    <sheet name="P1" sheetId="67" r:id="rId17"/>
    <sheet name="Srt2.PK" sheetId="77" r:id="rId18"/>
    <sheet name="PA.Srt2" sheetId="59" r:id="rId19"/>
    <sheet name="PHP" sheetId="58" r:id="rId20"/>
    <sheet name="PA.BAST" sheetId="66" r:id="rId21"/>
    <sheet name="ResKon" sheetId="78" r:id="rId22"/>
    <sheet name="Bayar" sheetId="62" r:id="rId23"/>
    <sheet name="spk.cover" sheetId="65" r:id="rId24"/>
    <sheet name="Uang" sheetId="36" state="hidden" r:id="rId25"/>
  </sheets>
  <definedNames>
    <definedName name="_Fill" localSheetId="24" hidden="1">#REF!</definedName>
    <definedName name="_Order1" hidden="1">0</definedName>
    <definedName name="_pan1">Input!$D$58</definedName>
    <definedName name="_pan2">Input!$D$60</definedName>
    <definedName name="_pan3">Input!$D$61</definedName>
    <definedName name="_pan4">Input!$D$62</definedName>
    <definedName name="_pan5">Input!$D$63</definedName>
    <definedName name="apip">Input!$D$39</definedName>
    <definedName name="apip_lok">Input!$D$40</definedName>
    <definedName name="aturan">Input!$D$20</definedName>
    <definedName name="bu_almt">Input!$D$117</definedName>
    <definedName name="bu_hn">Input!$D$127</definedName>
    <definedName name="bu_hn2">Input!$E$127</definedName>
    <definedName name="bu_hp">Input!$D$126</definedName>
    <definedName name="bu_hp2">Input!$E$126</definedName>
    <definedName name="bu_lok">Input!$D$116</definedName>
    <definedName name="bu_nama">Input!$D$114</definedName>
    <definedName name="bu_npwp">Input!$D$115</definedName>
    <definedName name="bu_pim">Input!$D$120</definedName>
    <definedName name="bu_pimn">Input!$D$121</definedName>
    <definedName name="bu_rek">Input!$D$164</definedName>
    <definedName name="dana">Input!$D$10</definedName>
    <definedName name="hps">Input!$D$13</definedName>
    <definedName name="hps_ter">Input!$E$13</definedName>
    <definedName name="hsls">Input!$D$14</definedName>
    <definedName name="jenis">Input!$D$3</definedName>
    <definedName name="kontrak_bentuk">Input!$D$15</definedName>
    <definedName name="lingkup">Input!$D$4</definedName>
    <definedName name="lokasi">Input!$D$5</definedName>
    <definedName name="masa">Input!$D$16</definedName>
    <definedName name="met_pil">Input!$D$67</definedName>
    <definedName name="mulai.spk" localSheetId="6">spk.B!#REF!</definedName>
    <definedName name="mulai.spk">spk.PK!$I$30</definedName>
    <definedName name="no.SPK" localSheetId="6">spk.B!$I$10</definedName>
    <definedName name="no.SPK">spk.PK!$I$10</definedName>
    <definedName name="OLE_LINK5" localSheetId="21">ResKon!$A$62</definedName>
    <definedName name="opd_almt">Input!$D$9</definedName>
    <definedName name="opd_lok">Input!$D$8</definedName>
    <definedName name="opd_nama">Input!$D$6</definedName>
    <definedName name="opd_pem">Input!$D$7</definedName>
    <definedName name="pa_gol">Input!$D$26</definedName>
    <definedName name="pa_gol2">Input!$D$27</definedName>
    <definedName name="pa_jab">Input!$D$23</definedName>
    <definedName name="pa_lok">Input!$D$30</definedName>
    <definedName name="pa_nam">Input!$D$24</definedName>
    <definedName name="pa_nip">Input!$D$25</definedName>
    <definedName name="pa_sku">Input!$D$29</definedName>
    <definedName name="pagu">Input!$D$12</definedName>
    <definedName name="paket">Input!$D$2</definedName>
    <definedName name="php_jab">Input!$D$41</definedName>
    <definedName name="php_lok">Input!$D$42</definedName>
    <definedName name="php_na1">Input!$D$43</definedName>
    <definedName name="php_na2">Input!$D$45</definedName>
    <definedName name="php_na3">Input!$D$47</definedName>
    <definedName name="php_nip1">Input!$D$44</definedName>
    <definedName name="php_nip2">Input!$D$46</definedName>
    <definedName name="php_nip3">Input!$D$48</definedName>
    <definedName name="pokja">Input!$D$50</definedName>
    <definedName name="pp_lok">Input!$D$53</definedName>
    <definedName name="pp_nip">Input!$D$59</definedName>
    <definedName name="ppk_gol">Input!$D$34</definedName>
    <definedName name="ppk_gol2">Input!$E$34</definedName>
    <definedName name="ppk_jab">Input!$D$31</definedName>
    <definedName name="ppk_lok">Input!$D$35</definedName>
    <definedName name="ppk_nama">Input!$D$32</definedName>
    <definedName name="ppk_nip">Input!$D$33</definedName>
    <definedName name="ppn">Input!$D$21</definedName>
    <definedName name="_xlnm.Print_Area" localSheetId="22">Bayar!$A$1:$K$92</definedName>
    <definedName name="_xlnm.Print_Area" localSheetId="0">Input!$A$1:$G$171</definedName>
    <definedName name="_xlnm.Print_Area" localSheetId="12">Nego!$A$1:$K$49</definedName>
    <definedName name="_xlnm.Print_Area" localSheetId="16">'P1'!$A$2:$K$39</definedName>
    <definedName name="_xlnm.Print_Area" localSheetId="20">PA.BAST!$A$1:$L$75</definedName>
    <definedName name="_xlnm.Print_Area" localSheetId="1">PA.Srt1!$A$1:$L$60</definedName>
    <definedName name="_xlnm.Print_Area" localSheetId="18">PA.Srt2!$A$1:$L$38</definedName>
    <definedName name="_xlnm.Print_Area" localSheetId="4">Pembanding!$A$1:$N$59</definedName>
    <definedName name="_xlnm.Print_Area" localSheetId="19">PHP!$A$1:$J$114</definedName>
    <definedName name="_xlnm.Print_Area" localSheetId="11">'PP.Eval.B'!$A$1:$H$148</definedName>
    <definedName name="_xlnm.Print_Area" localSheetId="9">PP.Rev!$A$1:$R$140</definedName>
    <definedName name="_xlnm.Print_Area" localSheetId="10">PP.Srt1!$A$1:$I$50,PP.Srt1!$A$90:$I$120</definedName>
    <definedName name="_xlnm.Print_Area" localSheetId="13">PP.Srt2!$A$1:$I$200</definedName>
    <definedName name="_xlnm.Print_Area" localSheetId="14">PPK.B!$A$1:$K$259</definedName>
    <definedName name="_xlnm.Print_Area" localSheetId="5">PPK.HPS!$A$1:$I$57</definedName>
    <definedName name="_xlnm.Print_Area" localSheetId="2">PPK.Pers!$A$1:$H$50</definedName>
    <definedName name="_xlnm.Print_Area" localSheetId="15">PPK.PK!$A$1:$K$295</definedName>
    <definedName name="_xlnm.Print_Area" localSheetId="3">PPK.Spek!$A$1:$J$44</definedName>
    <definedName name="_xlnm.Print_Area" localSheetId="8">PPK.Srt1!$A$2:$K$37</definedName>
    <definedName name="_xlnm.Print_Area" localSheetId="21">ResKon!$A$1:$K$137</definedName>
    <definedName name="_xlnm.Print_Area" localSheetId="6">spk.B!$A$3:$M$299</definedName>
    <definedName name="_xlnm.Print_Area" localSheetId="23">spk.cover!$A$1:$J$37</definedName>
    <definedName name="_xlnm.Print_Area" localSheetId="7">spk.PK!$A$3:$M$623</definedName>
    <definedName name="_xlnm.Print_Area" localSheetId="17">'Srt2.PK'!$A$1:$K$40</definedName>
    <definedName name="_xlnm.Print_Titles" localSheetId="22">Bayar!$1:$3</definedName>
    <definedName name="_xlnm.Print_Titles" localSheetId="1">PA.Srt1!$1:$3</definedName>
    <definedName name="_xlnm.Print_Titles" localSheetId="18">PA.Srt2!$1:$3</definedName>
    <definedName name="_xlnm.Print_Titles" localSheetId="4">Pembanding!$1:$3</definedName>
    <definedName name="_xlnm.Print_Titles" localSheetId="10">PP.Srt1!$1:$3</definedName>
    <definedName name="_xlnm.Print_Titles" localSheetId="13">PP.Srt2!$1:$3</definedName>
    <definedName name="_xlnm.Print_Titles" localSheetId="14">PPK.B!$1:$3</definedName>
    <definedName name="_xlnm.Print_Titles" localSheetId="5">PPK.HPS!$1:$3</definedName>
    <definedName name="_xlnm.Print_Titles" localSheetId="15">PPK.PK!$1:$3</definedName>
    <definedName name="_xlnm.Print_Titles" localSheetId="3">PPK.Spek!$1:$3</definedName>
    <definedName name="spk_nilai">Input!$D$135</definedName>
    <definedName name="spk_no">Input!$D$91</definedName>
    <definedName name="spk_ter">Input!$E$135</definedName>
    <definedName name="spk_tgl">Input!$H$91</definedName>
    <definedName name="tahun">Input!$D$11</definedName>
    <definedName name="tempat">Input!$D$55</definedName>
    <definedName name="tgl.SPK" localSheetId="6">spk.B!$I$11</definedName>
    <definedName name="tgl.SPK">spk.PK!$I$11</definedName>
    <definedName name="tiko1">Uang!$X$1</definedName>
    <definedName name="tiko2">Uang!$X$2</definedName>
    <definedName name="ukpbj">Input!$D$51</definedName>
    <definedName name="ukpbj_almt">Input!$D$52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8" i="78" l="1"/>
  <c r="A130" i="78"/>
  <c r="G127" i="78"/>
  <c r="G128" i="78"/>
  <c r="G136" i="78"/>
  <c r="G135" i="78"/>
  <c r="G57" i="78"/>
  <c r="G56" i="78"/>
  <c r="A136" i="78"/>
  <c r="A135" i="78"/>
  <c r="G129" i="78"/>
  <c r="G48" i="78"/>
  <c r="D26" i="36"/>
  <c r="G95" i="78"/>
  <c r="G122" i="78" s="1"/>
  <c r="G124" i="78" s="1"/>
  <c r="G125" i="78" s="1"/>
  <c r="F93" i="7"/>
  <c r="F94" i="7"/>
  <c r="G99" i="78"/>
  <c r="G97" i="78"/>
  <c r="G98" i="78" s="1"/>
  <c r="G96" i="78"/>
  <c r="G94" i="78"/>
  <c r="G93" i="78"/>
  <c r="G90" i="78"/>
  <c r="G88" i="78"/>
  <c r="G86" i="78"/>
  <c r="G85" i="78"/>
  <c r="G75" i="78"/>
  <c r="G74" i="78"/>
  <c r="G73" i="78"/>
  <c r="G72" i="78"/>
  <c r="H72" i="62"/>
  <c r="F10" i="77"/>
  <c r="F105" i="7"/>
  <c r="F106" i="7"/>
  <c r="C49" i="66"/>
  <c r="D1" i="66"/>
  <c r="D2" i="66"/>
  <c r="A8" i="66"/>
  <c r="I69" i="66"/>
  <c r="C61" i="66"/>
  <c r="C62" i="66"/>
  <c r="C52" i="66"/>
  <c r="C53" i="66"/>
  <c r="C54" i="66"/>
  <c r="C55" i="66"/>
  <c r="C56" i="66"/>
  <c r="C57" i="66"/>
  <c r="C58" i="66"/>
  <c r="C59" i="66"/>
  <c r="C60" i="66"/>
  <c r="C38" i="66"/>
  <c r="B38" i="66" s="1"/>
  <c r="C39" i="66"/>
  <c r="C40" i="66"/>
  <c r="C41" i="66"/>
  <c r="C42" i="66"/>
  <c r="C43" i="66"/>
  <c r="C44" i="66"/>
  <c r="C45" i="66"/>
  <c r="C46" i="66"/>
  <c r="C47" i="66"/>
  <c r="C48" i="66"/>
  <c r="C50" i="66"/>
  <c r="C51" i="66"/>
  <c r="K40" i="58"/>
  <c r="K36" i="58"/>
  <c r="K25" i="58" s="1"/>
  <c r="B36" i="58"/>
  <c r="B38" i="58"/>
  <c r="B39" i="58"/>
  <c r="D1" i="58"/>
  <c r="D2" i="58"/>
  <c r="A25" i="58"/>
  <c r="H137" i="64"/>
  <c r="H143" i="64"/>
  <c r="A143" i="64"/>
  <c r="H142" i="64"/>
  <c r="A142" i="64"/>
  <c r="A137" i="64"/>
  <c r="H229" i="51"/>
  <c r="H235" i="51"/>
  <c r="A235" i="51"/>
  <c r="A229" i="51"/>
  <c r="I221" i="51"/>
  <c r="H200" i="51"/>
  <c r="I200" i="51"/>
  <c r="H201" i="51"/>
  <c r="I201" i="51"/>
  <c r="H202" i="51"/>
  <c r="I202" i="51"/>
  <c r="H203" i="51"/>
  <c r="I203" i="51"/>
  <c r="H204" i="51"/>
  <c r="I204" i="51"/>
  <c r="H205" i="51"/>
  <c r="I205" i="51"/>
  <c r="H206" i="51"/>
  <c r="I206" i="51"/>
  <c r="H207" i="51"/>
  <c r="I207" i="51"/>
  <c r="H208" i="51"/>
  <c r="I208" i="51"/>
  <c r="H209" i="51"/>
  <c r="I209" i="51"/>
  <c r="H210" i="51"/>
  <c r="I210" i="51"/>
  <c r="J210" i="51"/>
  <c r="H211" i="51"/>
  <c r="I211" i="51"/>
  <c r="H212" i="51"/>
  <c r="I212" i="51"/>
  <c r="H213" i="51"/>
  <c r="I213" i="51"/>
  <c r="H214" i="51"/>
  <c r="I214" i="51"/>
  <c r="H215" i="51"/>
  <c r="I215" i="51"/>
  <c r="H216" i="51"/>
  <c r="I216" i="51"/>
  <c r="H217" i="51"/>
  <c r="I217" i="51"/>
  <c r="H218" i="51"/>
  <c r="I218" i="51"/>
  <c r="H219" i="51"/>
  <c r="I219" i="51"/>
  <c r="J219" i="51"/>
  <c r="H220" i="51"/>
  <c r="I220" i="51"/>
  <c r="C200" i="51"/>
  <c r="C201" i="51"/>
  <c r="C202" i="51"/>
  <c r="C203" i="51"/>
  <c r="C204" i="51"/>
  <c r="C205" i="51"/>
  <c r="C206" i="51"/>
  <c r="C207" i="51"/>
  <c r="C208" i="51"/>
  <c r="C209" i="51"/>
  <c r="C210" i="51"/>
  <c r="C211" i="51"/>
  <c r="C212" i="51"/>
  <c r="C213" i="51"/>
  <c r="C214" i="51"/>
  <c r="C215" i="51"/>
  <c r="C216" i="51"/>
  <c r="C217" i="51"/>
  <c r="C218" i="51"/>
  <c r="C219" i="51"/>
  <c r="C220" i="51"/>
  <c r="C221" i="51"/>
  <c r="H173" i="64"/>
  <c r="H237" i="64" s="1"/>
  <c r="I173" i="64"/>
  <c r="I237" i="64" s="1"/>
  <c r="H174" i="64"/>
  <c r="H238" i="64" s="1"/>
  <c r="I174" i="64"/>
  <c r="I238" i="64" s="1"/>
  <c r="H175" i="64"/>
  <c r="H239" i="64" s="1"/>
  <c r="I175" i="64"/>
  <c r="H176" i="64"/>
  <c r="H240" i="64" s="1"/>
  <c r="I176" i="64"/>
  <c r="I240" i="64" s="1"/>
  <c r="H177" i="64"/>
  <c r="H241" i="64" s="1"/>
  <c r="I177" i="64"/>
  <c r="I241" i="64" s="1"/>
  <c r="H178" i="64"/>
  <c r="H242" i="64" s="1"/>
  <c r="I178" i="64"/>
  <c r="I242" i="64" s="1"/>
  <c r="H179" i="64"/>
  <c r="H243" i="64" s="1"/>
  <c r="I179" i="64"/>
  <c r="I243" i="64" s="1"/>
  <c r="H180" i="64"/>
  <c r="H244" i="64" s="1"/>
  <c r="I180" i="64"/>
  <c r="I244" i="64" s="1"/>
  <c r="H181" i="64"/>
  <c r="H245" i="64" s="1"/>
  <c r="I181" i="64"/>
  <c r="I245" i="64" s="1"/>
  <c r="H182" i="64"/>
  <c r="H246" i="64" s="1"/>
  <c r="I182" i="64"/>
  <c r="I246" i="64" s="1"/>
  <c r="H183" i="64"/>
  <c r="H247" i="64" s="1"/>
  <c r="I183" i="64"/>
  <c r="I247" i="64" s="1"/>
  <c r="H184" i="64"/>
  <c r="H248" i="64" s="1"/>
  <c r="I184" i="64"/>
  <c r="I248" i="64" s="1"/>
  <c r="H185" i="64"/>
  <c r="H249" i="64" s="1"/>
  <c r="I185" i="64"/>
  <c r="I249" i="64" s="1"/>
  <c r="H186" i="64"/>
  <c r="H250" i="64" s="1"/>
  <c r="I186" i="64"/>
  <c r="I250" i="64" s="1"/>
  <c r="H187" i="64"/>
  <c r="H251" i="64" s="1"/>
  <c r="I187" i="64"/>
  <c r="I251" i="64" s="1"/>
  <c r="H188" i="64"/>
  <c r="H252" i="64" s="1"/>
  <c r="I188" i="64"/>
  <c r="I252" i="64" s="1"/>
  <c r="H189" i="64"/>
  <c r="H253" i="64" s="1"/>
  <c r="I189" i="64"/>
  <c r="I253" i="64" s="1"/>
  <c r="H190" i="64"/>
  <c r="H254" i="64" s="1"/>
  <c r="I190" i="64"/>
  <c r="I254" i="64" s="1"/>
  <c r="H191" i="64"/>
  <c r="I191" i="64"/>
  <c r="I255" i="64" s="1"/>
  <c r="H192" i="64"/>
  <c r="I192" i="64"/>
  <c r="I256" i="64" s="1"/>
  <c r="H193" i="64"/>
  <c r="H257" i="64" s="1"/>
  <c r="I193" i="64"/>
  <c r="I257" i="64" s="1"/>
  <c r="H194" i="64"/>
  <c r="H258" i="64" s="1"/>
  <c r="I194" i="64"/>
  <c r="I258" i="64" s="1"/>
  <c r="H195" i="64"/>
  <c r="H259" i="64" s="1"/>
  <c r="I195" i="64"/>
  <c r="I259" i="64" s="1"/>
  <c r="H196" i="64"/>
  <c r="I196" i="64"/>
  <c r="C187" i="64"/>
  <c r="C251" i="64" s="1"/>
  <c r="C188" i="64"/>
  <c r="C252" i="64" s="1"/>
  <c r="C189" i="64"/>
  <c r="C253" i="64" s="1"/>
  <c r="C190" i="64"/>
  <c r="C254" i="64" s="1"/>
  <c r="C191" i="64"/>
  <c r="C255" i="64" s="1"/>
  <c r="C192" i="64"/>
  <c r="C193" i="64"/>
  <c r="C257" i="64" s="1"/>
  <c r="C194" i="64"/>
  <c r="C258" i="64" s="1"/>
  <c r="C195" i="64"/>
  <c r="C259" i="64" s="1"/>
  <c r="C196" i="64"/>
  <c r="C173" i="64"/>
  <c r="C237" i="64" s="1"/>
  <c r="C174" i="64"/>
  <c r="C238" i="64" s="1"/>
  <c r="C175" i="64"/>
  <c r="C239" i="64" s="1"/>
  <c r="C176" i="64"/>
  <c r="C240" i="64" s="1"/>
  <c r="C177" i="64"/>
  <c r="C241" i="64" s="1"/>
  <c r="C178" i="64"/>
  <c r="C242" i="64" s="1"/>
  <c r="C179" i="64"/>
  <c r="C243" i="64" s="1"/>
  <c r="C180" i="64"/>
  <c r="C244" i="64" s="1"/>
  <c r="C181" i="64"/>
  <c r="C245" i="64" s="1"/>
  <c r="C182" i="64"/>
  <c r="C246" i="64" s="1"/>
  <c r="C183" i="64"/>
  <c r="C247" i="64" s="1"/>
  <c r="C184" i="64"/>
  <c r="C248" i="64" s="1"/>
  <c r="C185" i="64"/>
  <c r="C186" i="64"/>
  <c r="C250" i="64" s="1"/>
  <c r="I239" i="64"/>
  <c r="J247" i="64"/>
  <c r="C249" i="64"/>
  <c r="H255" i="64"/>
  <c r="C256" i="64"/>
  <c r="H256" i="64"/>
  <c r="J256" i="64"/>
  <c r="I67" i="51"/>
  <c r="I142" i="51" s="1"/>
  <c r="I68" i="51"/>
  <c r="I69" i="51"/>
  <c r="I70" i="51"/>
  <c r="I71" i="51"/>
  <c r="I72" i="51"/>
  <c r="I147" i="51" s="1"/>
  <c r="I73" i="51"/>
  <c r="I148" i="51" s="1"/>
  <c r="I74" i="51"/>
  <c r="I149" i="51" s="1"/>
  <c r="I75" i="51"/>
  <c r="I76" i="51"/>
  <c r="I151" i="51" s="1"/>
  <c r="I77" i="51"/>
  <c r="I152" i="51" s="1"/>
  <c r="I78" i="51"/>
  <c r="I79" i="51"/>
  <c r="I80" i="51"/>
  <c r="I81" i="51"/>
  <c r="I156" i="51" s="1"/>
  <c r="I82" i="51"/>
  <c r="I83" i="51"/>
  <c r="I84" i="51"/>
  <c r="I85" i="51"/>
  <c r="I86" i="51"/>
  <c r="I87" i="51"/>
  <c r="I88" i="51"/>
  <c r="I157" i="51" s="1"/>
  <c r="H67" i="51"/>
  <c r="H142" i="51" s="1"/>
  <c r="H68" i="51"/>
  <c r="H143" i="51" s="1"/>
  <c r="H69" i="51"/>
  <c r="H70" i="51"/>
  <c r="H71" i="51"/>
  <c r="H146" i="51" s="1"/>
  <c r="H72" i="51"/>
  <c r="H73" i="51"/>
  <c r="H74" i="51"/>
  <c r="H75" i="51"/>
  <c r="H76" i="51"/>
  <c r="H77" i="51"/>
  <c r="H152" i="51" s="1"/>
  <c r="H78" i="51"/>
  <c r="H153" i="51" s="1"/>
  <c r="H79" i="51"/>
  <c r="H154" i="51" s="1"/>
  <c r="H80" i="51"/>
  <c r="H155" i="51" s="1"/>
  <c r="H81" i="51"/>
  <c r="H156" i="51" s="1"/>
  <c r="H82" i="51"/>
  <c r="H83" i="51"/>
  <c r="H84" i="51"/>
  <c r="H85" i="51"/>
  <c r="H86" i="51"/>
  <c r="H87" i="51"/>
  <c r="H88" i="51"/>
  <c r="C86" i="51"/>
  <c r="C87" i="51"/>
  <c r="C88" i="51"/>
  <c r="C157" i="51" s="1"/>
  <c r="C67" i="51"/>
  <c r="C142" i="51" s="1"/>
  <c r="C68" i="51"/>
  <c r="C143" i="51" s="1"/>
  <c r="C69" i="51"/>
  <c r="C144" i="51" s="1"/>
  <c r="C70" i="51"/>
  <c r="C71" i="51"/>
  <c r="C146" i="51" s="1"/>
  <c r="C72" i="51"/>
  <c r="C147" i="51" s="1"/>
  <c r="C73" i="51"/>
  <c r="C148" i="51" s="1"/>
  <c r="C74" i="51"/>
  <c r="C149" i="51" s="1"/>
  <c r="C75" i="51"/>
  <c r="C150" i="51" s="1"/>
  <c r="C76" i="51"/>
  <c r="C77" i="51"/>
  <c r="C78" i="51"/>
  <c r="C153" i="51" s="1"/>
  <c r="C79" i="51"/>
  <c r="C154" i="51" s="1"/>
  <c r="C80" i="51"/>
  <c r="C81" i="51"/>
  <c r="C82" i="51"/>
  <c r="C83" i="51"/>
  <c r="C84" i="51"/>
  <c r="C85" i="51"/>
  <c r="J86" i="51"/>
  <c r="J77" i="51"/>
  <c r="C152" i="51"/>
  <c r="A57" i="78"/>
  <c r="A56" i="78"/>
  <c r="A51" i="78"/>
  <c r="G50" i="78"/>
  <c r="G49" i="78"/>
  <c r="H109" i="7"/>
  <c r="E109" i="7"/>
  <c r="P164" i="36"/>
  <c r="P165" i="36" s="1"/>
  <c r="P166" i="36" s="1"/>
  <c r="P167" i="36" s="1"/>
  <c r="P168" i="36" s="1"/>
  <c r="P169" i="36" s="1"/>
  <c r="P170" i="36" s="1"/>
  <c r="P171" i="36" s="1"/>
  <c r="R162" i="36" s="1"/>
  <c r="R163" i="36" s="1"/>
  <c r="R164" i="36" s="1"/>
  <c r="R165" i="36" s="1"/>
  <c r="R166" i="36" s="1"/>
  <c r="R167" i="36" s="1"/>
  <c r="R168" i="36" s="1"/>
  <c r="R169" i="36" s="1"/>
  <c r="R170" i="36" s="1"/>
  <c r="R171" i="36" s="1"/>
  <c r="D21" i="7"/>
  <c r="I42" i="78"/>
  <c r="P144" i="36"/>
  <c r="P145" i="36" s="1"/>
  <c r="P146" i="36" s="1"/>
  <c r="P147" i="36" s="1"/>
  <c r="P148" i="36" s="1"/>
  <c r="P149" i="36" s="1"/>
  <c r="P150" i="36" s="1"/>
  <c r="P151" i="36" s="1"/>
  <c r="R142" i="36" s="1"/>
  <c r="R143" i="36" s="1"/>
  <c r="R144" i="36" s="1"/>
  <c r="R145" i="36" s="1"/>
  <c r="R146" i="36" s="1"/>
  <c r="R147" i="36" s="1"/>
  <c r="R148" i="36" s="1"/>
  <c r="R149" i="36" s="1"/>
  <c r="R150" i="36" s="1"/>
  <c r="R151" i="36" s="1"/>
  <c r="P125" i="36"/>
  <c r="P126" i="36" s="1"/>
  <c r="P127" i="36" s="1"/>
  <c r="P128" i="36" s="1"/>
  <c r="P129" i="36" s="1"/>
  <c r="P130" i="36" s="1"/>
  <c r="P131" i="36" s="1"/>
  <c r="R122" i="36" s="1"/>
  <c r="R123" i="36" s="1"/>
  <c r="R124" i="36" s="1"/>
  <c r="R125" i="36" s="1"/>
  <c r="R126" i="36" s="1"/>
  <c r="R127" i="36" s="1"/>
  <c r="R128" i="36" s="1"/>
  <c r="R129" i="36" s="1"/>
  <c r="R130" i="36" s="1"/>
  <c r="R131" i="36" s="1"/>
  <c r="P124" i="36"/>
  <c r="A122" i="36"/>
  <c r="P104" i="36"/>
  <c r="P105" i="36" s="1"/>
  <c r="P106" i="36" s="1"/>
  <c r="P107" i="36" s="1"/>
  <c r="P108" i="36" s="1"/>
  <c r="P109" i="36" s="1"/>
  <c r="P110" i="36" s="1"/>
  <c r="P111" i="36" s="1"/>
  <c r="R102" i="36" s="1"/>
  <c r="R103" i="36" s="1"/>
  <c r="R104" i="36" s="1"/>
  <c r="R105" i="36" s="1"/>
  <c r="R106" i="36" s="1"/>
  <c r="R107" i="36" s="1"/>
  <c r="R108" i="36" s="1"/>
  <c r="R109" i="36" s="1"/>
  <c r="R110" i="36" s="1"/>
  <c r="R111" i="36" s="1"/>
  <c r="A102" i="36"/>
  <c r="P86" i="36"/>
  <c r="P87" i="36" s="1"/>
  <c r="P88" i="36" s="1"/>
  <c r="P89" i="36" s="1"/>
  <c r="P90" i="36" s="1"/>
  <c r="P91" i="36" s="1"/>
  <c r="R82" i="36" s="1"/>
  <c r="R83" i="36" s="1"/>
  <c r="R84" i="36" s="1"/>
  <c r="R85" i="36" s="1"/>
  <c r="R86" i="36" s="1"/>
  <c r="R87" i="36" s="1"/>
  <c r="R88" i="36" s="1"/>
  <c r="R89" i="36" s="1"/>
  <c r="R90" i="36" s="1"/>
  <c r="R91" i="36" s="1"/>
  <c r="P85" i="36"/>
  <c r="P84" i="36"/>
  <c r="A82" i="36"/>
  <c r="P64" i="36"/>
  <c r="P65" i="36" s="1"/>
  <c r="P66" i="36" s="1"/>
  <c r="P67" i="36" s="1"/>
  <c r="P68" i="36" s="1"/>
  <c r="P69" i="36" s="1"/>
  <c r="P70" i="36" s="1"/>
  <c r="P71" i="36" s="1"/>
  <c r="R62" i="36" s="1"/>
  <c r="R63" i="36" s="1"/>
  <c r="R64" i="36" s="1"/>
  <c r="R65" i="36" s="1"/>
  <c r="R66" i="36" s="1"/>
  <c r="R67" i="36" s="1"/>
  <c r="R68" i="36" s="1"/>
  <c r="R69" i="36" s="1"/>
  <c r="R70" i="36" s="1"/>
  <c r="R71" i="36" s="1"/>
  <c r="A62" i="36"/>
  <c r="B62" i="36" s="1"/>
  <c r="B63" i="36" s="1"/>
  <c r="C63" i="36" s="1"/>
  <c r="D63" i="36" s="1"/>
  <c r="P44" i="36"/>
  <c r="P45" i="36" s="1"/>
  <c r="P46" i="36" s="1"/>
  <c r="P47" i="36" s="1"/>
  <c r="P48" i="36" s="1"/>
  <c r="P49" i="36" s="1"/>
  <c r="P50" i="36" s="1"/>
  <c r="P51" i="36" s="1"/>
  <c r="R42" i="36" s="1"/>
  <c r="R43" i="36" s="1"/>
  <c r="R44" i="36" s="1"/>
  <c r="R45" i="36" s="1"/>
  <c r="R46" i="36" s="1"/>
  <c r="R47" i="36" s="1"/>
  <c r="R48" i="36" s="1"/>
  <c r="R49" i="36" s="1"/>
  <c r="R50" i="36" s="1"/>
  <c r="R51" i="36" s="1"/>
  <c r="P24" i="36"/>
  <c r="P25" i="36" s="1"/>
  <c r="P26" i="36" s="1"/>
  <c r="P27" i="36" s="1"/>
  <c r="P28" i="36" s="1"/>
  <c r="P29" i="36" s="1"/>
  <c r="P30" i="36" s="1"/>
  <c r="P31" i="36" s="1"/>
  <c r="R22" i="36" s="1"/>
  <c r="R23" i="36" s="1"/>
  <c r="R24" i="36" s="1"/>
  <c r="R25" i="36" s="1"/>
  <c r="R26" i="36" s="1"/>
  <c r="R27" i="36" s="1"/>
  <c r="R28" i="36" s="1"/>
  <c r="R29" i="36" s="1"/>
  <c r="R30" i="36" s="1"/>
  <c r="R31" i="36" s="1"/>
  <c r="P5" i="36"/>
  <c r="P6" i="36" s="1"/>
  <c r="P7" i="36" s="1"/>
  <c r="P8" i="36" s="1"/>
  <c r="P9" i="36" s="1"/>
  <c r="P10" i="36" s="1"/>
  <c r="P11" i="36" s="1"/>
  <c r="R2" i="36" s="1"/>
  <c r="R3" i="36" s="1"/>
  <c r="R4" i="36" s="1"/>
  <c r="R5" i="36" s="1"/>
  <c r="R6" i="36" s="1"/>
  <c r="R7" i="36" s="1"/>
  <c r="R8" i="36" s="1"/>
  <c r="R9" i="36" s="1"/>
  <c r="R10" i="36" s="1"/>
  <c r="R11" i="36" s="1"/>
  <c r="P4" i="36"/>
  <c r="A35" i="65"/>
  <c r="A34" i="65"/>
  <c r="A33" i="65"/>
  <c r="A29" i="65"/>
  <c r="A19" i="65"/>
  <c r="A10" i="65"/>
  <c r="A9" i="65"/>
  <c r="D3" i="65"/>
  <c r="D2" i="65"/>
  <c r="D1" i="65"/>
  <c r="H90" i="62"/>
  <c r="A90" i="62"/>
  <c r="H89" i="62"/>
  <c r="A89" i="62"/>
  <c r="H85" i="62"/>
  <c r="H80" i="62"/>
  <c r="F80" i="62"/>
  <c r="A80" i="62"/>
  <c r="H79" i="62"/>
  <c r="F79" i="62"/>
  <c r="A79" i="62"/>
  <c r="H75" i="62"/>
  <c r="A75" i="62"/>
  <c r="E67" i="62"/>
  <c r="F52" i="62"/>
  <c r="F50" i="62"/>
  <c r="F46" i="62"/>
  <c r="H42" i="62"/>
  <c r="D42" i="62"/>
  <c r="H41" i="62"/>
  <c r="D41" i="62"/>
  <c r="D37" i="62"/>
  <c r="H36" i="62"/>
  <c r="E31" i="62"/>
  <c r="E30" i="62"/>
  <c r="E18" i="62"/>
  <c r="E17" i="62"/>
  <c r="E16" i="62"/>
  <c r="E13" i="62"/>
  <c r="E12" i="62"/>
  <c r="E11" i="62"/>
  <c r="E10" i="62"/>
  <c r="A6" i="62"/>
  <c r="C3" i="62"/>
  <c r="C2" i="62"/>
  <c r="C1" i="62"/>
  <c r="H39" i="78"/>
  <c r="G39" i="78"/>
  <c r="B39" i="78"/>
  <c r="J39" i="78" s="1"/>
  <c r="H38" i="78"/>
  <c r="G38" i="78"/>
  <c r="B38" i="78"/>
  <c r="J38" i="78" s="1"/>
  <c r="H37" i="78"/>
  <c r="G37" i="78"/>
  <c r="B37" i="78"/>
  <c r="A37" i="78" s="1"/>
  <c r="H36" i="78"/>
  <c r="G36" i="78"/>
  <c r="B36" i="78"/>
  <c r="A36" i="78" s="1"/>
  <c r="I35" i="78"/>
  <c r="H35" i="78"/>
  <c r="G35" i="78"/>
  <c r="B35" i="78"/>
  <c r="A35" i="78" s="1"/>
  <c r="H34" i="78"/>
  <c r="G34" i="78"/>
  <c r="B34" i="78"/>
  <c r="J34" i="78" s="1"/>
  <c r="H33" i="78"/>
  <c r="G33" i="78"/>
  <c r="B33" i="78"/>
  <c r="A33" i="78" s="1"/>
  <c r="H32" i="78"/>
  <c r="G32" i="78"/>
  <c r="B32" i="78"/>
  <c r="A32" i="78" s="1"/>
  <c r="H31" i="78"/>
  <c r="G31" i="78"/>
  <c r="B31" i="78"/>
  <c r="J31" i="78" s="1"/>
  <c r="H30" i="78"/>
  <c r="G30" i="78"/>
  <c r="B30" i="78"/>
  <c r="J30" i="78" s="1"/>
  <c r="H29" i="78"/>
  <c r="G29" i="78"/>
  <c r="B29" i="78"/>
  <c r="J29" i="78" s="1"/>
  <c r="H28" i="78"/>
  <c r="G28" i="78"/>
  <c r="B28" i="78"/>
  <c r="J28" i="78" s="1"/>
  <c r="H27" i="78"/>
  <c r="G27" i="78"/>
  <c r="B27" i="78"/>
  <c r="A27" i="78" s="1"/>
  <c r="I26" i="78"/>
  <c r="H26" i="78"/>
  <c r="G26" i="78"/>
  <c r="B26" i="78"/>
  <c r="J26" i="78" s="1"/>
  <c r="H25" i="78"/>
  <c r="G25" i="78"/>
  <c r="B25" i="78"/>
  <c r="H24" i="78"/>
  <c r="G24" i="78"/>
  <c r="B24" i="78"/>
  <c r="H23" i="78"/>
  <c r="G23" i="78"/>
  <c r="B23" i="78"/>
  <c r="H22" i="78"/>
  <c r="G22" i="78"/>
  <c r="B22" i="78"/>
  <c r="H21" i="78"/>
  <c r="G21" i="78"/>
  <c r="B21" i="78"/>
  <c r="H20" i="78"/>
  <c r="G20" i="78"/>
  <c r="B20" i="78"/>
  <c r="A20" i="78" s="1"/>
  <c r="H19" i="78"/>
  <c r="G19" i="78"/>
  <c r="B19" i="78"/>
  <c r="H18" i="78"/>
  <c r="G18" i="78"/>
  <c r="B18" i="78"/>
  <c r="H17" i="78"/>
  <c r="G17" i="78"/>
  <c r="B17" i="78"/>
  <c r="A17" i="78" s="1"/>
  <c r="H16" i="78"/>
  <c r="G16" i="78"/>
  <c r="B16" i="78"/>
  <c r="H15" i="78"/>
  <c r="G15" i="78"/>
  <c r="B15" i="78"/>
  <c r="H14" i="78"/>
  <c r="G14" i="78"/>
  <c r="B14" i="78"/>
  <c r="E10" i="78"/>
  <c r="E9" i="78"/>
  <c r="E7" i="78"/>
  <c r="E4" i="78"/>
  <c r="I74" i="66"/>
  <c r="A74" i="66"/>
  <c r="I73" i="66"/>
  <c r="A73" i="66"/>
  <c r="A69" i="66"/>
  <c r="A68" i="66"/>
  <c r="C37" i="66"/>
  <c r="B36" i="66"/>
  <c r="F32" i="66"/>
  <c r="F31" i="66"/>
  <c r="F30" i="66"/>
  <c r="F29" i="66"/>
  <c r="B26" i="66"/>
  <c r="A24" i="66"/>
  <c r="F16" i="66"/>
  <c r="F15" i="66"/>
  <c r="F13" i="66"/>
  <c r="F12" i="66"/>
  <c r="F10" i="66"/>
  <c r="A6" i="66"/>
  <c r="D3" i="66"/>
  <c r="A50" i="58"/>
  <c r="B44" i="58"/>
  <c r="B43" i="58"/>
  <c r="B41" i="58"/>
  <c r="B34" i="58"/>
  <c r="B33" i="58"/>
  <c r="B32" i="58"/>
  <c r="B31" i="58"/>
  <c r="B30" i="58"/>
  <c r="B29" i="58"/>
  <c r="F17" i="58"/>
  <c r="F16" i="58"/>
  <c r="F15" i="58"/>
  <c r="A7" i="58"/>
  <c r="A6" i="58"/>
  <c r="D3" i="58"/>
  <c r="A36" i="59"/>
  <c r="J33" i="59"/>
  <c r="J31" i="59"/>
  <c r="J27" i="59"/>
  <c r="D8" i="59"/>
  <c r="D6" i="59"/>
  <c r="D3" i="59"/>
  <c r="D2" i="59"/>
  <c r="D1" i="59"/>
  <c r="I39" i="77"/>
  <c r="F39" i="77"/>
  <c r="A39" i="77"/>
  <c r="I38" i="77"/>
  <c r="F38" i="77"/>
  <c r="A38" i="77"/>
  <c r="I34" i="77"/>
  <c r="F34" i="77"/>
  <c r="A33" i="77"/>
  <c r="F19" i="77"/>
  <c r="F18" i="77"/>
  <c r="F17" i="77"/>
  <c r="F16" i="77"/>
  <c r="F15" i="77"/>
  <c r="F11" i="77"/>
  <c r="F9" i="77"/>
  <c r="F7" i="77"/>
  <c r="F6" i="77"/>
  <c r="F5" i="77"/>
  <c r="A38" i="67"/>
  <c r="A37" i="67"/>
  <c r="I33" i="67"/>
  <c r="I32" i="67"/>
  <c r="I28" i="67"/>
  <c r="D17" i="67"/>
  <c r="A13" i="67"/>
  <c r="A12" i="67"/>
  <c r="D8" i="67"/>
  <c r="K7" i="67"/>
  <c r="I295" i="64"/>
  <c r="I294" i="64"/>
  <c r="I290" i="64"/>
  <c r="J278" i="64"/>
  <c r="D276" i="64"/>
  <c r="D274" i="64"/>
  <c r="I270" i="64"/>
  <c r="D270" i="64"/>
  <c r="I269" i="64"/>
  <c r="D269" i="64"/>
  <c r="D261" i="64"/>
  <c r="B236" i="64"/>
  <c r="B237" i="64" s="1"/>
  <c r="B238" i="64" s="1"/>
  <c r="B239" i="64" s="1"/>
  <c r="B240" i="64" s="1"/>
  <c r="B241" i="64" s="1"/>
  <c r="B242" i="64" s="1"/>
  <c r="B243" i="64" s="1"/>
  <c r="B244" i="64" s="1"/>
  <c r="B245" i="64" s="1"/>
  <c r="B246" i="64" s="1"/>
  <c r="B247" i="64" s="1"/>
  <c r="B248" i="64" s="1"/>
  <c r="B249" i="64" s="1"/>
  <c r="B250" i="64" s="1"/>
  <c r="B251" i="64" s="1"/>
  <c r="B252" i="64" s="1"/>
  <c r="B259" i="64" s="1"/>
  <c r="B260" i="64" s="1"/>
  <c r="A227" i="64"/>
  <c r="D225" i="64"/>
  <c r="D224" i="64"/>
  <c r="A221" i="64"/>
  <c r="D219" i="64"/>
  <c r="D218" i="64"/>
  <c r="D217" i="64"/>
  <c r="A210" i="64"/>
  <c r="A209" i="64"/>
  <c r="I205" i="64"/>
  <c r="D205" i="64"/>
  <c r="I204" i="64"/>
  <c r="D204" i="64"/>
  <c r="I172" i="64"/>
  <c r="I236" i="64" s="1"/>
  <c r="H172" i="64"/>
  <c r="H236" i="64" s="1"/>
  <c r="C172" i="64"/>
  <c r="C236" i="64" s="1"/>
  <c r="B172" i="64"/>
  <c r="B173" i="64" s="1"/>
  <c r="B174" i="64" s="1"/>
  <c r="B175" i="64" s="1"/>
  <c r="B176" i="64" s="1"/>
  <c r="B177" i="64" s="1"/>
  <c r="B178" i="64" s="1"/>
  <c r="B179" i="64" s="1"/>
  <c r="B180" i="64" s="1"/>
  <c r="B181" i="64" s="1"/>
  <c r="B182" i="64" s="1"/>
  <c r="B183" i="64" s="1"/>
  <c r="B184" i="64" s="1"/>
  <c r="B185" i="64" s="1"/>
  <c r="B186" i="64" s="1"/>
  <c r="B187" i="64" s="1"/>
  <c r="B194" i="64" s="1"/>
  <c r="B195" i="64" s="1"/>
  <c r="B196" i="64" s="1"/>
  <c r="I171" i="64"/>
  <c r="I235" i="64" s="1"/>
  <c r="H171" i="64"/>
  <c r="H235" i="64" s="1"/>
  <c r="C171" i="64"/>
  <c r="C235" i="64" s="1"/>
  <c r="A163" i="64"/>
  <c r="D161" i="64"/>
  <c r="D160" i="64"/>
  <c r="D159" i="64"/>
  <c r="A156" i="64"/>
  <c r="D154" i="64"/>
  <c r="D153" i="64"/>
  <c r="D152" i="64"/>
  <c r="D151" i="64"/>
  <c r="A147" i="64"/>
  <c r="A146" i="64"/>
  <c r="F125" i="64"/>
  <c r="F124" i="64"/>
  <c r="F123" i="64"/>
  <c r="F122" i="64"/>
  <c r="F121" i="64"/>
  <c r="F120" i="64"/>
  <c r="F119" i="64"/>
  <c r="F118" i="64"/>
  <c r="F117" i="64"/>
  <c r="F116" i="64"/>
  <c r="F115" i="64"/>
  <c r="F114" i="64"/>
  <c r="F113" i="64"/>
  <c r="F112" i="64"/>
  <c r="F111" i="64"/>
  <c r="F110" i="64"/>
  <c r="F109" i="64"/>
  <c r="F108" i="64"/>
  <c r="F107" i="64"/>
  <c r="L106" i="64"/>
  <c r="F106" i="64"/>
  <c r="A103" i="64"/>
  <c r="D101" i="64"/>
  <c r="D100" i="64"/>
  <c r="D99" i="64"/>
  <c r="A94" i="64"/>
  <c r="D93" i="64"/>
  <c r="D92" i="64"/>
  <c r="D91" i="64"/>
  <c r="A87" i="64"/>
  <c r="I83" i="64"/>
  <c r="D83" i="64"/>
  <c r="I82" i="64"/>
  <c r="D82" i="64"/>
  <c r="B65" i="64"/>
  <c r="A59" i="64"/>
  <c r="D57" i="64"/>
  <c r="D56" i="64"/>
  <c r="D55" i="64"/>
  <c r="A52" i="64"/>
  <c r="D50" i="64"/>
  <c r="D49" i="64"/>
  <c r="D48" i="64"/>
  <c r="D47" i="64"/>
  <c r="A43" i="64"/>
  <c r="I34" i="64"/>
  <c r="I33" i="64"/>
  <c r="I29" i="64"/>
  <c r="D14" i="64"/>
  <c r="D12" i="64"/>
  <c r="A10" i="64"/>
  <c r="D6" i="64"/>
  <c r="D3" i="64"/>
  <c r="D2" i="64"/>
  <c r="D1" i="64"/>
  <c r="I258" i="51"/>
  <c r="I257" i="51"/>
  <c r="I253" i="51"/>
  <c r="J243" i="51"/>
  <c r="D241" i="51"/>
  <c r="D239" i="51"/>
  <c r="H234" i="51"/>
  <c r="A234" i="51"/>
  <c r="H221" i="51"/>
  <c r="I199" i="51"/>
  <c r="H199" i="51"/>
  <c r="C199" i="51"/>
  <c r="B199" i="51"/>
  <c r="B200" i="51" s="1"/>
  <c r="B201" i="51" s="1"/>
  <c r="B202" i="51" s="1"/>
  <c r="B203" i="51" s="1"/>
  <c r="B204" i="51" s="1"/>
  <c r="B205" i="51" s="1"/>
  <c r="B206" i="51" s="1"/>
  <c r="B207" i="51" s="1"/>
  <c r="B208" i="51" s="1"/>
  <c r="B209" i="51" s="1"/>
  <c r="B210" i="51" s="1"/>
  <c r="B211" i="51" s="1"/>
  <c r="B212" i="51" s="1"/>
  <c r="B213" i="51" s="1"/>
  <c r="B214" i="51" s="1"/>
  <c r="B221" i="51" s="1"/>
  <c r="B222" i="51" s="1"/>
  <c r="B223" i="51" s="1"/>
  <c r="B224" i="51" s="1"/>
  <c r="I198" i="51"/>
  <c r="H198" i="51"/>
  <c r="C198" i="51"/>
  <c r="A190" i="51"/>
  <c r="D188" i="51"/>
  <c r="D187" i="51"/>
  <c r="A184" i="51"/>
  <c r="D182" i="51"/>
  <c r="D181" i="51"/>
  <c r="D180" i="51"/>
  <c r="A173" i="51"/>
  <c r="A172" i="51"/>
  <c r="I168" i="51"/>
  <c r="D168" i="51"/>
  <c r="I167" i="51"/>
  <c r="D167" i="51"/>
  <c r="I159" i="51"/>
  <c r="H159" i="51"/>
  <c r="C159" i="51"/>
  <c r="I158" i="51"/>
  <c r="H158" i="51"/>
  <c r="C158" i="51"/>
  <c r="H157" i="51"/>
  <c r="C156" i="51"/>
  <c r="I155" i="51"/>
  <c r="C155" i="51"/>
  <c r="I153" i="51"/>
  <c r="H151" i="51"/>
  <c r="C151" i="51"/>
  <c r="I150" i="51"/>
  <c r="H150" i="51"/>
  <c r="H149" i="51"/>
  <c r="H148" i="51"/>
  <c r="H147" i="51"/>
  <c r="I146" i="51"/>
  <c r="H145" i="51"/>
  <c r="C145" i="51"/>
  <c r="H144" i="51"/>
  <c r="B141" i="51"/>
  <c r="B142" i="51" s="1"/>
  <c r="B143" i="51" s="1"/>
  <c r="B144" i="51" s="1"/>
  <c r="B145" i="51" s="1"/>
  <c r="B146" i="51" s="1"/>
  <c r="B147" i="51" s="1"/>
  <c r="B148" i="51" s="1"/>
  <c r="B149" i="51" s="1"/>
  <c r="B150" i="51" s="1"/>
  <c r="B151" i="51" s="1"/>
  <c r="B152" i="51" s="1"/>
  <c r="B153" i="51" s="1"/>
  <c r="B154" i="51" s="1"/>
  <c r="B155" i="51" s="1"/>
  <c r="B156" i="51" s="1"/>
  <c r="B157" i="51" s="1"/>
  <c r="B158" i="51" s="1"/>
  <c r="B159" i="51" s="1"/>
  <c r="A135" i="51"/>
  <c r="A132" i="51"/>
  <c r="D130" i="51"/>
  <c r="D129" i="51"/>
  <c r="D128" i="51"/>
  <c r="A125" i="51"/>
  <c r="D123" i="51"/>
  <c r="D122" i="51"/>
  <c r="D121" i="51"/>
  <c r="D120" i="51"/>
  <c r="A116" i="51"/>
  <c r="A115" i="51"/>
  <c r="I112" i="51"/>
  <c r="D112" i="51"/>
  <c r="I111" i="51"/>
  <c r="D111" i="51"/>
  <c r="D107" i="51"/>
  <c r="I106" i="51"/>
  <c r="F94" i="51"/>
  <c r="D92" i="51"/>
  <c r="D225" i="51" s="1"/>
  <c r="I66" i="51"/>
  <c r="I141" i="51" s="1"/>
  <c r="H66" i="51"/>
  <c r="H141" i="51" s="1"/>
  <c r="C66" i="51"/>
  <c r="C141" i="51" s="1"/>
  <c r="B66" i="51"/>
  <c r="B67" i="51" s="1"/>
  <c r="B68" i="51" s="1"/>
  <c r="B69" i="51" s="1"/>
  <c r="B70" i="51" s="1"/>
  <c r="B71" i="51" s="1"/>
  <c r="B72" i="51" s="1"/>
  <c r="B73" i="51" s="1"/>
  <c r="B74" i="51" s="1"/>
  <c r="B75" i="51" s="1"/>
  <c r="B76" i="51" s="1"/>
  <c r="B77" i="51" s="1"/>
  <c r="B78" i="51" s="1"/>
  <c r="B79" i="51" s="1"/>
  <c r="B80" i="51" s="1"/>
  <c r="B81" i="51" s="1"/>
  <c r="B88" i="51" s="1"/>
  <c r="B89" i="51" s="1"/>
  <c r="B90" i="51" s="1"/>
  <c r="B91" i="51" s="1"/>
  <c r="I65" i="51"/>
  <c r="H65" i="51"/>
  <c r="H140" i="51" s="1"/>
  <c r="C65" i="51"/>
  <c r="C140" i="51" s="1"/>
  <c r="B63" i="51"/>
  <c r="A60" i="51"/>
  <c r="D58" i="51"/>
  <c r="D57" i="51"/>
  <c r="A54" i="51"/>
  <c r="A52" i="51"/>
  <c r="D51" i="51"/>
  <c r="D50" i="51"/>
  <c r="D49" i="51"/>
  <c r="A45" i="51"/>
  <c r="A44" i="51"/>
  <c r="I34" i="51"/>
  <c r="I33" i="51"/>
  <c r="I29" i="51"/>
  <c r="D22" i="51"/>
  <c r="D14" i="51"/>
  <c r="D12" i="51"/>
  <c r="A10" i="51"/>
  <c r="D6" i="51"/>
  <c r="D3" i="51"/>
  <c r="D1" i="51"/>
  <c r="H196" i="74"/>
  <c r="H195" i="74"/>
  <c r="H190" i="74"/>
  <c r="D185" i="74"/>
  <c r="F178" i="74"/>
  <c r="F177" i="74"/>
  <c r="F176" i="74"/>
  <c r="D168" i="74"/>
  <c r="H163" i="74"/>
  <c r="D162" i="74"/>
  <c r="H158" i="74"/>
  <c r="H157" i="74"/>
  <c r="H152" i="74"/>
  <c r="F145" i="74"/>
  <c r="F144" i="74"/>
  <c r="F143" i="74"/>
  <c r="F142" i="74"/>
  <c r="F138" i="74"/>
  <c r="F137" i="74"/>
  <c r="F135" i="74"/>
  <c r="F134" i="74"/>
  <c r="F133" i="74"/>
  <c r="F131" i="74"/>
  <c r="A129" i="74"/>
  <c r="B124" i="74"/>
  <c r="B123" i="74"/>
  <c r="B122" i="74"/>
  <c r="B121" i="74"/>
  <c r="B120" i="74"/>
  <c r="B118" i="74"/>
  <c r="F112" i="74"/>
  <c r="F111" i="74"/>
  <c r="F110" i="74"/>
  <c r="F109" i="74"/>
  <c r="F97" i="74"/>
  <c r="F96" i="74"/>
  <c r="F94" i="74"/>
  <c r="F93" i="74"/>
  <c r="F92" i="74"/>
  <c r="F90" i="74"/>
  <c r="A88" i="74"/>
  <c r="B83" i="74"/>
  <c r="B82" i="74"/>
  <c r="B81" i="74"/>
  <c r="B80" i="74"/>
  <c r="B79" i="74"/>
  <c r="B77" i="74"/>
  <c r="A74" i="74"/>
  <c r="B71" i="74"/>
  <c r="B70" i="74"/>
  <c r="F57" i="74"/>
  <c r="F56" i="74"/>
  <c r="F55" i="74"/>
  <c r="F54" i="74"/>
  <c r="F49" i="74"/>
  <c r="F48" i="74"/>
  <c r="F46" i="74"/>
  <c r="F45" i="74"/>
  <c r="F44" i="74"/>
  <c r="F42" i="74"/>
  <c r="A40" i="74"/>
  <c r="A39" i="74"/>
  <c r="B35" i="74"/>
  <c r="B33" i="74"/>
  <c r="B31" i="74"/>
  <c r="B30" i="74"/>
  <c r="B29" i="74"/>
  <c r="B28" i="74"/>
  <c r="B27" i="74"/>
  <c r="A10" i="74"/>
  <c r="A9" i="74"/>
  <c r="A8" i="74"/>
  <c r="A7" i="74"/>
  <c r="D1" i="74"/>
  <c r="H48" i="56"/>
  <c r="B48" i="56"/>
  <c r="H47" i="56"/>
  <c r="B47" i="56"/>
  <c r="H42" i="56"/>
  <c r="B42" i="56"/>
  <c r="G34" i="56"/>
  <c r="I34" i="56" s="1"/>
  <c r="I39" i="78" s="1"/>
  <c r="F34" i="56"/>
  <c r="J34" i="56" s="1"/>
  <c r="E34" i="56"/>
  <c r="B34" i="56"/>
  <c r="A34" i="56"/>
  <c r="I33" i="56"/>
  <c r="I38" i="78" s="1"/>
  <c r="G33" i="56"/>
  <c r="F33" i="56"/>
  <c r="E33" i="56"/>
  <c r="B33" i="56"/>
  <c r="A33" i="56"/>
  <c r="G32" i="56"/>
  <c r="F32" i="56"/>
  <c r="E32" i="56"/>
  <c r="B32" i="56"/>
  <c r="I32" i="56" s="1"/>
  <c r="A32" i="56"/>
  <c r="G31" i="56"/>
  <c r="I31" i="56" s="1"/>
  <c r="F31" i="56"/>
  <c r="J31" i="56" s="1"/>
  <c r="E31" i="56"/>
  <c r="B31" i="56"/>
  <c r="A31" i="56" s="1"/>
  <c r="G30" i="56"/>
  <c r="F30" i="56"/>
  <c r="E30" i="56"/>
  <c r="B30" i="56"/>
  <c r="A30" i="56" s="1"/>
  <c r="G29" i="56"/>
  <c r="F29" i="56"/>
  <c r="E29" i="56"/>
  <c r="B29" i="56"/>
  <c r="I29" i="56" s="1"/>
  <c r="A29" i="56"/>
  <c r="G28" i="56"/>
  <c r="I28" i="56" s="1"/>
  <c r="F28" i="56"/>
  <c r="E28" i="56"/>
  <c r="B28" i="56"/>
  <c r="A28" i="56"/>
  <c r="G27" i="56"/>
  <c r="F27" i="56"/>
  <c r="J27" i="56" s="1"/>
  <c r="E27" i="56"/>
  <c r="B27" i="56"/>
  <c r="I27" i="56" s="1"/>
  <c r="G26" i="56"/>
  <c r="I26" i="56" s="1"/>
  <c r="F26" i="56"/>
  <c r="E26" i="56"/>
  <c r="B26" i="56"/>
  <c r="A26" i="56" s="1"/>
  <c r="G25" i="56"/>
  <c r="F25" i="56"/>
  <c r="E25" i="56"/>
  <c r="B25" i="56"/>
  <c r="I25" i="56" s="1"/>
  <c r="A25" i="56"/>
  <c r="G24" i="56"/>
  <c r="I24" i="56" s="1"/>
  <c r="F24" i="56"/>
  <c r="J24" i="56" s="1"/>
  <c r="E24" i="56"/>
  <c r="B24" i="56"/>
  <c r="A24" i="56"/>
  <c r="G23" i="56"/>
  <c r="I23" i="56" s="1"/>
  <c r="F23" i="56"/>
  <c r="E23" i="56"/>
  <c r="B23" i="56"/>
  <c r="A23" i="56"/>
  <c r="G22" i="56"/>
  <c r="F22" i="56"/>
  <c r="E22" i="56"/>
  <c r="B22" i="56"/>
  <c r="I22" i="56" s="1"/>
  <c r="A22" i="56"/>
  <c r="G21" i="56"/>
  <c r="F21" i="56"/>
  <c r="E21" i="56"/>
  <c r="B21" i="56"/>
  <c r="A21" i="56"/>
  <c r="G20" i="56"/>
  <c r="F20" i="56"/>
  <c r="J20" i="56" s="1"/>
  <c r="E20" i="56"/>
  <c r="B20" i="56"/>
  <c r="I20" i="56" s="1"/>
  <c r="G19" i="56"/>
  <c r="I19" i="56" s="1"/>
  <c r="F19" i="56"/>
  <c r="J19" i="56" s="1"/>
  <c r="E19" i="56"/>
  <c r="B19" i="56"/>
  <c r="G18" i="56"/>
  <c r="F18" i="56"/>
  <c r="E18" i="56"/>
  <c r="B18" i="56"/>
  <c r="I18" i="56" s="1"/>
  <c r="G17" i="56"/>
  <c r="F17" i="56"/>
  <c r="E17" i="56"/>
  <c r="B17" i="56"/>
  <c r="I17" i="56" s="1"/>
  <c r="G16" i="56"/>
  <c r="F16" i="56"/>
  <c r="E16" i="56"/>
  <c r="B16" i="56"/>
  <c r="I16" i="56" s="1"/>
  <c r="G15" i="56"/>
  <c r="F15" i="56"/>
  <c r="E15" i="56"/>
  <c r="B15" i="56"/>
  <c r="I15" i="56" s="1"/>
  <c r="A15" i="56"/>
  <c r="G14" i="56"/>
  <c r="I14" i="56" s="1"/>
  <c r="F14" i="56"/>
  <c r="E14" i="56"/>
  <c r="B14" i="56"/>
  <c r="G13" i="56"/>
  <c r="F13" i="56"/>
  <c r="J13" i="56" s="1"/>
  <c r="E13" i="56"/>
  <c r="B13" i="56"/>
  <c r="I13" i="56" s="1"/>
  <c r="G12" i="56"/>
  <c r="I12" i="56" s="1"/>
  <c r="F12" i="56"/>
  <c r="E12" i="56"/>
  <c r="B12" i="56"/>
  <c r="A12" i="56"/>
  <c r="G11" i="56"/>
  <c r="F11" i="56"/>
  <c r="E11" i="56"/>
  <c r="B11" i="56"/>
  <c r="I11" i="56" s="1"/>
  <c r="A11" i="56"/>
  <c r="G10" i="56"/>
  <c r="I10" i="56" s="1"/>
  <c r="F10" i="56"/>
  <c r="J10" i="56" s="1"/>
  <c r="E10" i="56"/>
  <c r="B10" i="56"/>
  <c r="A10" i="56"/>
  <c r="G9" i="56"/>
  <c r="I9" i="56" s="1"/>
  <c r="F9" i="56"/>
  <c r="J9" i="56" s="1"/>
  <c r="E9" i="56"/>
  <c r="B9" i="56"/>
  <c r="A9" i="56"/>
  <c r="D3" i="56"/>
  <c r="B147" i="55"/>
  <c r="B146" i="55"/>
  <c r="B145" i="55"/>
  <c r="B144" i="55"/>
  <c r="F143" i="55"/>
  <c r="B143" i="55"/>
  <c r="F141" i="55"/>
  <c r="A140" i="55"/>
  <c r="G114" i="55"/>
  <c r="G113" i="55"/>
  <c r="G112" i="55"/>
  <c r="G111" i="55"/>
  <c r="G105" i="55"/>
  <c r="G101" i="55"/>
  <c r="H85" i="55"/>
  <c r="D84" i="55"/>
  <c r="A83" i="55"/>
  <c r="B80" i="55"/>
  <c r="B79" i="55"/>
  <c r="B78" i="55"/>
  <c r="B77" i="55"/>
  <c r="F76" i="55"/>
  <c r="B76" i="55"/>
  <c r="F74" i="55"/>
  <c r="A73" i="55"/>
  <c r="B46" i="55"/>
  <c r="B44" i="55"/>
  <c r="G14" i="55"/>
  <c r="G13" i="55"/>
  <c r="G11" i="55"/>
  <c r="G68" i="55" s="1"/>
  <c r="G10" i="55"/>
  <c r="G9" i="55"/>
  <c r="H3" i="55"/>
  <c r="D2" i="55"/>
  <c r="A1" i="55"/>
  <c r="B118" i="54"/>
  <c r="B116" i="54"/>
  <c r="B114" i="54"/>
  <c r="B113" i="54"/>
  <c r="B112" i="54"/>
  <c r="B111" i="54"/>
  <c r="K110" i="54"/>
  <c r="B110" i="54"/>
  <c r="B108" i="54"/>
  <c r="A95" i="54"/>
  <c r="A94" i="54"/>
  <c r="A93" i="54"/>
  <c r="A92" i="54"/>
  <c r="B87" i="54"/>
  <c r="B85" i="54"/>
  <c r="B83" i="54"/>
  <c r="B82" i="54"/>
  <c r="B81" i="54"/>
  <c r="B80" i="54"/>
  <c r="B79" i="54"/>
  <c r="F62" i="54"/>
  <c r="J59" i="54"/>
  <c r="A55" i="54"/>
  <c r="A54" i="54"/>
  <c r="A53" i="54"/>
  <c r="A52" i="54"/>
  <c r="H49" i="54"/>
  <c r="H48" i="54"/>
  <c r="H43" i="54"/>
  <c r="I35" i="54"/>
  <c r="I34" i="54"/>
  <c r="F29" i="54"/>
  <c r="F28" i="54"/>
  <c r="F26" i="54"/>
  <c r="F23" i="54"/>
  <c r="F20" i="54"/>
  <c r="F19" i="54"/>
  <c r="A16" i="54"/>
  <c r="D13" i="54"/>
  <c r="B11" i="54"/>
  <c r="J9" i="54"/>
  <c r="A9" i="54"/>
  <c r="D6" i="54"/>
  <c r="D1" i="54"/>
  <c r="D148" i="76"/>
  <c r="D147" i="76"/>
  <c r="D146" i="76"/>
  <c r="D145" i="76"/>
  <c r="D144" i="76"/>
  <c r="D142" i="76"/>
  <c r="I139" i="76"/>
  <c r="I138" i="76"/>
  <c r="I134" i="76"/>
  <c r="S127" i="76"/>
  <c r="G126" i="76"/>
  <c r="O124" i="76"/>
  <c r="O122" i="76"/>
  <c r="S121" i="76"/>
  <c r="T119" i="76" s="1"/>
  <c r="F107" i="76"/>
  <c r="F106" i="76"/>
  <c r="S104" i="76"/>
  <c r="F102" i="76"/>
  <c r="F98" i="76"/>
  <c r="N94" i="76"/>
  <c r="F94" i="76"/>
  <c r="S93" i="76"/>
  <c r="T92" i="76" s="1"/>
  <c r="D80" i="76"/>
  <c r="D78" i="76"/>
  <c r="D76" i="76"/>
  <c r="I71" i="76"/>
  <c r="C71" i="76"/>
  <c r="I70" i="76"/>
  <c r="C70" i="76"/>
  <c r="C63" i="76"/>
  <c r="F22" i="76"/>
  <c r="F15" i="76"/>
  <c r="F13" i="76"/>
  <c r="F12" i="76"/>
  <c r="A12" i="76"/>
  <c r="F11" i="76"/>
  <c r="I63" i="76" s="1"/>
  <c r="A11" i="76"/>
  <c r="F9" i="76"/>
  <c r="F8" i="76"/>
  <c r="F7" i="76"/>
  <c r="D3" i="76"/>
  <c r="D1" i="76"/>
  <c r="S52" i="60"/>
  <c r="S51" i="60"/>
  <c r="S47" i="60"/>
  <c r="R40" i="60"/>
  <c r="R39" i="60"/>
  <c r="R38" i="60"/>
  <c r="R37" i="60"/>
  <c r="R36" i="60"/>
  <c r="R35" i="60"/>
  <c r="R34" i="60"/>
  <c r="R33" i="60"/>
  <c r="R32" i="60"/>
  <c r="I32" i="60"/>
  <c r="R31" i="60"/>
  <c r="I31" i="60"/>
  <c r="R30" i="60"/>
  <c r="R29" i="60"/>
  <c r="R28" i="60"/>
  <c r="R27" i="60"/>
  <c r="I27" i="60"/>
  <c r="R26" i="60"/>
  <c r="R25" i="60"/>
  <c r="R24" i="60"/>
  <c r="R23" i="60"/>
  <c r="R22" i="60"/>
  <c r="Q22" i="60" s="1"/>
  <c r="Q23" i="60" s="1"/>
  <c r="Q24" i="60" s="1"/>
  <c r="Q25" i="60" s="1"/>
  <c r="Q26" i="60" s="1"/>
  <c r="Q27" i="60" s="1"/>
  <c r="Q28" i="60" s="1"/>
  <c r="Q29" i="60" s="1"/>
  <c r="Q30" i="60" s="1"/>
  <c r="Q31" i="60" s="1"/>
  <c r="Q32" i="60" s="1"/>
  <c r="Q33" i="60" s="1"/>
  <c r="Q34" i="60" s="1"/>
  <c r="Q35" i="60" s="1"/>
  <c r="Q36" i="60" s="1"/>
  <c r="Q37" i="60" s="1"/>
  <c r="Q38" i="60" s="1"/>
  <c r="Q39" i="60" s="1"/>
  <c r="Q40" i="60" s="1"/>
  <c r="R21" i="60"/>
  <c r="Q16" i="60"/>
  <c r="Q14" i="60"/>
  <c r="D14" i="60"/>
  <c r="D16" i="60" s="1"/>
  <c r="Q7" i="60"/>
  <c r="D7" i="60"/>
  <c r="Q4" i="60"/>
  <c r="D4" i="60"/>
  <c r="Q3" i="60"/>
  <c r="D3" i="60"/>
  <c r="Q2" i="60"/>
  <c r="D2" i="60"/>
  <c r="D427" i="61"/>
  <c r="I125" i="61"/>
  <c r="A125" i="61"/>
  <c r="I124" i="61"/>
  <c r="A124" i="61"/>
  <c r="I122" i="61"/>
  <c r="A122" i="61"/>
  <c r="I119" i="61"/>
  <c r="A119" i="61"/>
  <c r="O104" i="61"/>
  <c r="P85" i="61"/>
  <c r="O88" i="61" s="1"/>
  <c r="P84" i="61"/>
  <c r="O86" i="61" s="1"/>
  <c r="J84" i="61"/>
  <c r="A84" i="61"/>
  <c r="A81" i="61"/>
  <c r="A75" i="61"/>
  <c r="B65" i="61"/>
  <c r="B63" i="61"/>
  <c r="B62" i="61"/>
  <c r="B61" i="61"/>
  <c r="E54" i="61"/>
  <c r="A46" i="61"/>
  <c r="J44" i="61"/>
  <c r="J43" i="61"/>
  <c r="G42" i="61"/>
  <c r="J41" i="61"/>
  <c r="A41" i="61"/>
  <c r="J40" i="61"/>
  <c r="G39" i="61"/>
  <c r="O34" i="61"/>
  <c r="O33" i="61"/>
  <c r="G31" i="61"/>
  <c r="J29" i="61"/>
  <c r="J28" i="61"/>
  <c r="J27" i="61"/>
  <c r="J26" i="61"/>
  <c r="J25" i="61"/>
  <c r="J24" i="61"/>
  <c r="J15" i="61"/>
  <c r="J14" i="61"/>
  <c r="J13" i="61"/>
  <c r="J12" i="61"/>
  <c r="J11" i="61"/>
  <c r="J10" i="61"/>
  <c r="J7" i="61"/>
  <c r="E5" i="61"/>
  <c r="E4" i="61"/>
  <c r="E3" i="61"/>
  <c r="D271" i="68"/>
  <c r="C57" i="68"/>
  <c r="I42" i="68"/>
  <c r="A42" i="68"/>
  <c r="I41" i="68"/>
  <c r="A41" i="68"/>
  <c r="I39" i="68"/>
  <c r="A39" i="68"/>
  <c r="I36" i="68"/>
  <c r="A36" i="68"/>
  <c r="A29" i="68"/>
  <c r="A25" i="68"/>
  <c r="J23" i="68"/>
  <c r="J22" i="68"/>
  <c r="G21" i="68"/>
  <c r="J20" i="68"/>
  <c r="A20" i="68"/>
  <c r="J19" i="68"/>
  <c r="G18" i="68"/>
  <c r="G15" i="68"/>
  <c r="G12" i="68"/>
  <c r="J11" i="68"/>
  <c r="J10" i="68"/>
  <c r="J7" i="68"/>
  <c r="E5" i="68"/>
  <c r="E4" i="68"/>
  <c r="E3" i="68"/>
  <c r="G57" i="71"/>
  <c r="G56" i="71"/>
  <c r="G51" i="71"/>
  <c r="A45" i="71"/>
  <c r="A44" i="71"/>
  <c r="A43" i="71"/>
  <c r="A40" i="71"/>
  <c r="I38" i="71"/>
  <c r="I37" i="71"/>
  <c r="I36" i="71"/>
  <c r="I34" i="71"/>
  <c r="I33" i="71"/>
  <c r="I32" i="71"/>
  <c r="I30" i="71"/>
  <c r="I29" i="71"/>
  <c r="I27" i="71"/>
  <c r="I26" i="71"/>
  <c r="I25" i="71"/>
  <c r="I24" i="71"/>
  <c r="I21" i="71"/>
  <c r="I18" i="71"/>
  <c r="I17" i="71"/>
  <c r="I43" i="71" s="1"/>
  <c r="D11" i="71"/>
  <c r="D10" i="71"/>
  <c r="D9" i="71"/>
  <c r="D8" i="71"/>
  <c r="D7" i="71"/>
  <c r="C3" i="71"/>
  <c r="C2" i="71"/>
  <c r="C1" i="71"/>
  <c r="K58" i="75"/>
  <c r="K57" i="75"/>
  <c r="K52" i="75"/>
  <c r="M44" i="75"/>
  <c r="A44" i="75"/>
  <c r="M43" i="75"/>
  <c r="M42" i="75"/>
  <c r="M41" i="75"/>
  <c r="M40" i="75"/>
  <c r="L40" i="75"/>
  <c r="M39" i="75"/>
  <c r="M37" i="75"/>
  <c r="M36" i="75"/>
  <c r="M35" i="75"/>
  <c r="M33" i="75"/>
  <c r="M32" i="75"/>
  <c r="M31" i="75"/>
  <c r="M30" i="75"/>
  <c r="M28" i="75"/>
  <c r="M26" i="75"/>
  <c r="J26" i="75"/>
  <c r="I26" i="75"/>
  <c r="M25" i="75"/>
  <c r="J25" i="75"/>
  <c r="I25" i="75"/>
  <c r="M24" i="75"/>
  <c r="J24" i="75"/>
  <c r="I24" i="75"/>
  <c r="M23" i="75"/>
  <c r="M17" i="75" s="1"/>
  <c r="M46" i="75" s="1"/>
  <c r="J23" i="75"/>
  <c r="I23" i="75"/>
  <c r="M21" i="75"/>
  <c r="K21" i="75"/>
  <c r="J21" i="75"/>
  <c r="I21" i="75"/>
  <c r="M20" i="75"/>
  <c r="K20" i="75"/>
  <c r="J20" i="75"/>
  <c r="I20" i="75"/>
  <c r="M19" i="75"/>
  <c r="K19" i="75"/>
  <c r="J19" i="75"/>
  <c r="I19" i="75"/>
  <c r="D11" i="75"/>
  <c r="D10" i="75"/>
  <c r="D9" i="75"/>
  <c r="D8" i="75"/>
  <c r="D7" i="75"/>
  <c r="D3" i="75"/>
  <c r="D2" i="75"/>
  <c r="D1" i="75"/>
  <c r="G43" i="52"/>
  <c r="G42" i="52"/>
  <c r="G37" i="52"/>
  <c r="A17" i="52"/>
  <c r="A18" i="52" s="1"/>
  <c r="A19" i="52" s="1"/>
  <c r="A20" i="52" s="1"/>
  <c r="A21" i="52" s="1"/>
  <c r="A22" i="52" s="1"/>
  <c r="A23" i="52" s="1"/>
  <c r="A24" i="52" s="1"/>
  <c r="A25" i="52" s="1"/>
  <c r="A26" i="52" s="1"/>
  <c r="A27" i="52" s="1"/>
  <c r="A28" i="52" s="1"/>
  <c r="A29" i="52" s="1"/>
  <c r="A30" i="52" s="1"/>
  <c r="A31" i="52" s="1"/>
  <c r="A32" i="52" s="1"/>
  <c r="A33" i="52" s="1"/>
  <c r="A34" i="52" s="1"/>
  <c r="D11" i="52"/>
  <c r="D10" i="52"/>
  <c r="D9" i="52"/>
  <c r="D8" i="52"/>
  <c r="D7" i="52"/>
  <c r="A5" i="52"/>
  <c r="D3" i="52"/>
  <c r="D2" i="52"/>
  <c r="D1" i="52"/>
  <c r="H50" i="70"/>
  <c r="H49" i="70"/>
  <c r="H45" i="70"/>
  <c r="C35" i="70"/>
  <c r="H20" i="70"/>
  <c r="H18" i="70"/>
  <c r="C18" i="70"/>
  <c r="H17" i="70"/>
  <c r="H16" i="70"/>
  <c r="H15" i="70"/>
  <c r="D7" i="70"/>
  <c r="D5" i="70"/>
  <c r="D3" i="70"/>
  <c r="D2" i="70"/>
  <c r="D1" i="70"/>
  <c r="J56" i="57"/>
  <c r="J54" i="57"/>
  <c r="J50" i="57"/>
  <c r="F44" i="57"/>
  <c r="F43" i="57"/>
  <c r="F24" i="57"/>
  <c r="F25" i="57" s="1"/>
  <c r="F26" i="57" s="1"/>
  <c r="F27" i="57" s="1"/>
  <c r="F28" i="57" s="1"/>
  <c r="F29" i="57" s="1"/>
  <c r="F30" i="57" s="1"/>
  <c r="F31" i="57" s="1"/>
  <c r="F32" i="57" s="1"/>
  <c r="F33" i="57" s="1"/>
  <c r="F34" i="57" s="1"/>
  <c r="F35" i="57" s="1"/>
  <c r="F36" i="57" s="1"/>
  <c r="F37" i="57" s="1"/>
  <c r="F38" i="57" s="1"/>
  <c r="F39" i="57" s="1"/>
  <c r="F40" i="57" s="1"/>
  <c r="F41" i="57" s="1"/>
  <c r="F23" i="57"/>
  <c r="F17" i="57"/>
  <c r="F15" i="57"/>
  <c r="F14" i="57"/>
  <c r="F9" i="57"/>
  <c r="F8" i="57"/>
  <c r="A6" i="57"/>
  <c r="D3" i="57"/>
  <c r="D2" i="57"/>
  <c r="D1" i="57"/>
  <c r="D166" i="7"/>
  <c r="E32" i="62" s="1"/>
  <c r="D141" i="7"/>
  <c r="D140" i="7"/>
  <c r="D133" i="7"/>
  <c r="F111" i="7"/>
  <c r="H110" i="7"/>
  <c r="E110" i="7"/>
  <c r="H108" i="7"/>
  <c r="E108" i="7"/>
  <c r="H106" i="7"/>
  <c r="E106" i="7"/>
  <c r="H105" i="7"/>
  <c r="H104" i="7"/>
  <c r="H103" i="7"/>
  <c r="B22" i="66" s="1"/>
  <c r="E103" i="7"/>
  <c r="H102" i="7"/>
  <c r="B21" i="66" s="1"/>
  <c r="E102" i="7"/>
  <c r="A118" i="51" s="1"/>
  <c r="H101" i="7"/>
  <c r="E101" i="7"/>
  <c r="H100" i="7"/>
  <c r="F99" i="7"/>
  <c r="H99" i="7" s="1"/>
  <c r="H24" i="65" s="1"/>
  <c r="F97" i="7"/>
  <c r="F98" i="7" s="1"/>
  <c r="F96" i="7"/>
  <c r="E96" i="7" s="1"/>
  <c r="H94" i="7"/>
  <c r="H93" i="7"/>
  <c r="H92" i="7"/>
  <c r="H91" i="7"/>
  <c r="E5" i="78" s="1"/>
  <c r="E91" i="7"/>
  <c r="H90" i="7"/>
  <c r="H36" i="54" s="1"/>
  <c r="E90" i="7"/>
  <c r="G36" i="54" s="1"/>
  <c r="F84" i="7"/>
  <c r="E84" i="7" s="1"/>
  <c r="H83" i="7"/>
  <c r="H35" i="54" s="1"/>
  <c r="E83" i="7"/>
  <c r="A97" i="54" s="1"/>
  <c r="H82" i="7"/>
  <c r="G12" i="55" s="1"/>
  <c r="H81" i="7"/>
  <c r="G81" i="7"/>
  <c r="H34" i="54" s="1"/>
  <c r="E81" i="7"/>
  <c r="H80" i="7"/>
  <c r="E80" i="7"/>
  <c r="H79" i="7"/>
  <c r="A82" i="76" s="1"/>
  <c r="H78" i="7"/>
  <c r="H77" i="7"/>
  <c r="F76" i="7"/>
  <c r="F10" i="76" s="1"/>
  <c r="H75" i="7"/>
  <c r="A9" i="70" s="1"/>
  <c r="H74" i="7"/>
  <c r="J48" i="57" s="1"/>
  <c r="D53" i="7"/>
  <c r="D52" i="7"/>
  <c r="D3" i="74" s="1"/>
  <c r="D51" i="7"/>
  <c r="D75" i="76" s="1"/>
  <c r="G50" i="7"/>
  <c r="A41" i="7" s="1"/>
  <c r="D42" i="7"/>
  <c r="J10" i="59" s="1"/>
  <c r="D40" i="7"/>
  <c r="A38" i="51" s="1"/>
  <c r="D35" i="7"/>
  <c r="E34" i="7"/>
  <c r="F16" i="57" s="1"/>
  <c r="D27" i="7"/>
  <c r="J32" i="59" s="1"/>
  <c r="D23" i="7"/>
  <c r="A198" i="74" s="1"/>
  <c r="D18" i="7"/>
  <c r="F98" i="51" s="1"/>
  <c r="E15" i="7"/>
  <c r="F100" i="51" s="1"/>
  <c r="E14" i="7"/>
  <c r="C158" i="61" s="1"/>
  <c r="J20" i="78" l="1"/>
  <c r="J35" i="78"/>
  <c r="J238" i="64"/>
  <c r="I17" i="78"/>
  <c r="J68" i="51"/>
  <c r="J12" i="56"/>
  <c r="J201" i="51"/>
  <c r="J79" i="51"/>
  <c r="K79" i="51" s="1"/>
  <c r="J249" i="64"/>
  <c r="I28" i="78"/>
  <c r="J212" i="51"/>
  <c r="K212" i="51" s="1"/>
  <c r="I14" i="78"/>
  <c r="J235" i="64"/>
  <c r="J198" i="51"/>
  <c r="J65" i="51"/>
  <c r="K65" i="51" s="1"/>
  <c r="J202" i="51"/>
  <c r="K202" i="51" s="1"/>
  <c r="I18" i="78"/>
  <c r="J18" i="78" s="1"/>
  <c r="J239" i="64"/>
  <c r="J69" i="51"/>
  <c r="J80" i="51"/>
  <c r="J250" i="64"/>
  <c r="J213" i="51"/>
  <c r="I29" i="78"/>
  <c r="J207" i="51"/>
  <c r="J244" i="64"/>
  <c r="J18" i="56"/>
  <c r="J74" i="51"/>
  <c r="K74" i="51" s="1"/>
  <c r="I23" i="78"/>
  <c r="J23" i="78" s="1"/>
  <c r="J88" i="51"/>
  <c r="J258" i="64"/>
  <c r="J221" i="51"/>
  <c r="K221" i="51" s="1"/>
  <c r="I37" i="78"/>
  <c r="J11" i="56"/>
  <c r="J35" i="56" s="1"/>
  <c r="J237" i="64"/>
  <c r="J67" i="51"/>
  <c r="J200" i="51"/>
  <c r="K200" i="51" s="1"/>
  <c r="I16" i="78"/>
  <c r="J16" i="78" s="1"/>
  <c r="J241" i="64"/>
  <c r="J204" i="51"/>
  <c r="K204" i="51" s="1"/>
  <c r="J71" i="51"/>
  <c r="I20" i="78"/>
  <c r="I15" i="78"/>
  <c r="J15" i="78" s="1"/>
  <c r="J199" i="51"/>
  <c r="K199" i="51" s="1"/>
  <c r="J236" i="64"/>
  <c r="J66" i="51"/>
  <c r="K66" i="51" s="1"/>
  <c r="J78" i="51"/>
  <c r="K78" i="51" s="1"/>
  <c r="J22" i="56"/>
  <c r="J248" i="64"/>
  <c r="I27" i="78"/>
  <c r="J211" i="51"/>
  <c r="J29" i="56"/>
  <c r="J15" i="56"/>
  <c r="J257" i="64"/>
  <c r="J220" i="51"/>
  <c r="J87" i="51"/>
  <c r="K87" i="51" s="1"/>
  <c r="I36" i="78"/>
  <c r="I33" i="78"/>
  <c r="J28" i="56"/>
  <c r="J254" i="64"/>
  <c r="K254" i="64" s="1"/>
  <c r="J217" i="51"/>
  <c r="J84" i="51"/>
  <c r="K71" i="51"/>
  <c r="I19" i="78"/>
  <c r="J19" i="78" s="1"/>
  <c r="J203" i="51"/>
  <c r="J70" i="51"/>
  <c r="J240" i="64"/>
  <c r="J14" i="56"/>
  <c r="J32" i="56"/>
  <c r="J218" i="51"/>
  <c r="K218" i="51" s="1"/>
  <c r="I34" i="78"/>
  <c r="J255" i="64"/>
  <c r="J85" i="51"/>
  <c r="K69" i="51"/>
  <c r="I44" i="71"/>
  <c r="I45" i="71" s="1"/>
  <c r="J245" i="64"/>
  <c r="J208" i="51"/>
  <c r="K208" i="51" s="1"/>
  <c r="J75" i="51"/>
  <c r="K75" i="51" s="1"/>
  <c r="I24" i="78"/>
  <c r="J24" i="78" s="1"/>
  <c r="I22" i="78"/>
  <c r="J22" i="78" s="1"/>
  <c r="J73" i="51"/>
  <c r="J17" i="56"/>
  <c r="J206" i="51"/>
  <c r="J243" i="64"/>
  <c r="K243" i="64" s="1"/>
  <c r="J251" i="64"/>
  <c r="K251" i="64" s="1"/>
  <c r="I30" i="78"/>
  <c r="J25" i="56"/>
  <c r="J214" i="51"/>
  <c r="K214" i="51" s="1"/>
  <c r="J81" i="51"/>
  <c r="I21" i="78"/>
  <c r="J21" i="78" s="1"/>
  <c r="J72" i="51"/>
  <c r="K72" i="51" s="1"/>
  <c r="J205" i="51"/>
  <c r="K205" i="51" s="1"/>
  <c r="J242" i="64"/>
  <c r="K242" i="64" s="1"/>
  <c r="J16" i="56"/>
  <c r="J246" i="64"/>
  <c r="J76" i="51"/>
  <c r="K76" i="51" s="1"/>
  <c r="J209" i="51"/>
  <c r="I25" i="78"/>
  <c r="J25" i="78" s="1"/>
  <c r="J215" i="51"/>
  <c r="J252" i="64"/>
  <c r="J26" i="56"/>
  <c r="J82" i="51"/>
  <c r="I31" i="78"/>
  <c r="J23" i="56"/>
  <c r="J83" i="51"/>
  <c r="J253" i="64"/>
  <c r="I32" i="78"/>
  <c r="J216" i="51"/>
  <c r="K216" i="51" s="1"/>
  <c r="J33" i="56"/>
  <c r="A21" i="62"/>
  <c r="A13" i="56"/>
  <c r="A14" i="56" s="1"/>
  <c r="A27" i="56"/>
  <c r="I144" i="51"/>
  <c r="K258" i="64"/>
  <c r="K70" i="51"/>
  <c r="K206" i="51"/>
  <c r="A62" i="64"/>
  <c r="K209" i="51"/>
  <c r="A8" i="62"/>
  <c r="F20" i="77"/>
  <c r="F33" i="66"/>
  <c r="A38" i="78"/>
  <c r="J259" i="64"/>
  <c r="B39" i="66"/>
  <c r="B40" i="66" s="1"/>
  <c r="B41" i="66" s="1"/>
  <c r="B42" i="66" s="1"/>
  <c r="B43" i="66" s="1"/>
  <c r="B44" i="66" s="1"/>
  <c r="B45" i="66" s="1"/>
  <c r="B46" i="66" s="1"/>
  <c r="B47" i="66" s="1"/>
  <c r="B48" i="66" s="1"/>
  <c r="B49" i="66" s="1"/>
  <c r="K236" i="64"/>
  <c r="H76" i="7"/>
  <c r="G36" i="52" s="1"/>
  <c r="I145" i="51"/>
  <c r="G122" i="76"/>
  <c r="J14" i="78"/>
  <c r="F52" i="58"/>
  <c r="B50" i="66"/>
  <c r="B51" i="66" s="1"/>
  <c r="B52" i="66" s="1"/>
  <c r="B53" i="66" s="1"/>
  <c r="B54" i="66" s="1"/>
  <c r="B55" i="66" s="1"/>
  <c r="B56" i="66" s="1"/>
  <c r="B57" i="66" s="1"/>
  <c r="B58" i="66" s="1"/>
  <c r="B59" i="66" s="1"/>
  <c r="B60" i="66" s="1"/>
  <c r="B61" i="66" s="1"/>
  <c r="B62" i="66" s="1"/>
  <c r="H111" i="7"/>
  <c r="K88" i="51"/>
  <c r="K207" i="51"/>
  <c r="K77" i="51"/>
  <c r="K86" i="51"/>
  <c r="K68" i="51"/>
  <c r="K73" i="51"/>
  <c r="I143" i="51"/>
  <c r="K213" i="51"/>
  <c r="K217" i="51"/>
  <c r="K201" i="51"/>
  <c r="K198" i="51"/>
  <c r="K250" i="64"/>
  <c r="K239" i="64"/>
  <c r="K246" i="64"/>
  <c r="K235" i="64"/>
  <c r="K259" i="64"/>
  <c r="K247" i="64"/>
  <c r="K253" i="64"/>
  <c r="K237" i="64"/>
  <c r="K249" i="64"/>
  <c r="K241" i="64"/>
  <c r="K255" i="64"/>
  <c r="K257" i="64"/>
  <c r="K238" i="64"/>
  <c r="K245" i="64"/>
  <c r="K82" i="51"/>
  <c r="K80" i="51"/>
  <c r="K67" i="51"/>
  <c r="I140" i="51"/>
  <c r="K211" i="51"/>
  <c r="K210" i="51"/>
  <c r="K220" i="51"/>
  <c r="K215" i="51"/>
  <c r="K219" i="51"/>
  <c r="K203" i="51"/>
  <c r="K85" i="51"/>
  <c r="K240" i="64"/>
  <c r="K244" i="64"/>
  <c r="K252" i="64"/>
  <c r="K256" i="64"/>
  <c r="K248" i="64"/>
  <c r="K84" i="51"/>
  <c r="K83" i="51"/>
  <c r="K81" i="51"/>
  <c r="I154" i="51"/>
  <c r="J32" i="78"/>
  <c r="J36" i="78"/>
  <c r="J37" i="78"/>
  <c r="J27" i="78"/>
  <c r="A28" i="78"/>
  <c r="A14" i="78"/>
  <c r="A15" i="78" s="1"/>
  <c r="A26" i="78"/>
  <c r="A29" i="78"/>
  <c r="A30" i="78"/>
  <c r="A34" i="78"/>
  <c r="J17" i="78"/>
  <c r="A57" i="54"/>
  <c r="F95" i="51"/>
  <c r="H166" i="74"/>
  <c r="A3" i="77"/>
  <c r="F85" i="7"/>
  <c r="A175" i="51"/>
  <c r="J55" i="57"/>
  <c r="A58" i="57"/>
  <c r="A70" i="61"/>
  <c r="A149" i="64"/>
  <c r="A31" i="78"/>
  <c r="A39" i="78"/>
  <c r="J33" i="78"/>
  <c r="J63" i="36"/>
  <c r="G63" i="36"/>
  <c r="H63" i="36" s="1"/>
  <c r="E63" i="36"/>
  <c r="F127" i="64"/>
  <c r="H98" i="7"/>
  <c r="H23" i="65" s="1"/>
  <c r="K273" i="64"/>
  <c r="L5" i="59"/>
  <c r="B82" i="36"/>
  <c r="C82" i="36" s="1"/>
  <c r="D82" i="36" s="1"/>
  <c r="D2" i="54"/>
  <c r="G35" i="54"/>
  <c r="B77" i="54"/>
  <c r="D2" i="74"/>
  <c r="K238" i="51"/>
  <c r="A212" i="64"/>
  <c r="A36" i="67"/>
  <c r="A138" i="55"/>
  <c r="I5" i="54"/>
  <c r="O12" i="60"/>
  <c r="N10" i="60"/>
  <c r="A10" i="60"/>
  <c r="H44" i="70"/>
  <c r="B12" i="60"/>
  <c r="I132" i="76"/>
  <c r="D141" i="76" s="1"/>
  <c r="I240" i="51"/>
  <c r="F10" i="57"/>
  <c r="I133" i="76"/>
  <c r="A71" i="55"/>
  <c r="A38" i="64"/>
  <c r="F11" i="57"/>
  <c r="A80" i="61"/>
  <c r="A72" i="55"/>
  <c r="A39" i="64"/>
  <c r="J26" i="59"/>
  <c r="B76" i="7"/>
  <c r="H84" i="7"/>
  <c r="A166" i="64"/>
  <c r="A96" i="64"/>
  <c r="E85" i="7"/>
  <c r="H44" i="54"/>
  <c r="B25" i="74"/>
  <c r="A35" i="60"/>
  <c r="N55" i="60"/>
  <c r="F51" i="62"/>
  <c r="A139" i="55"/>
  <c r="H191" i="74"/>
  <c r="A37" i="51"/>
  <c r="G18" i="61"/>
  <c r="D2" i="76"/>
  <c r="H153" i="74"/>
  <c r="F11" i="66"/>
  <c r="E63" i="62"/>
  <c r="B122" i="36"/>
  <c r="A39" i="51"/>
  <c r="A67" i="66"/>
  <c r="A77" i="7"/>
  <c r="A35" i="59"/>
  <c r="U6" i="60"/>
  <c r="K5" i="51"/>
  <c r="K6" i="60"/>
  <c r="H96" i="7"/>
  <c r="A45" i="64" s="1"/>
  <c r="E97" i="7"/>
  <c r="I104" i="51"/>
  <c r="K5" i="64"/>
  <c r="C15" i="67"/>
  <c r="D3" i="54"/>
  <c r="F45" i="62"/>
  <c r="J49" i="57"/>
  <c r="I275" i="64"/>
  <c r="A37" i="64"/>
  <c r="A9" i="58"/>
  <c r="B102" i="74"/>
  <c r="D2" i="51"/>
  <c r="A73" i="62"/>
  <c r="C62" i="36"/>
  <c r="D62" i="36" s="1"/>
  <c r="H97" i="7"/>
  <c r="A136" i="64" s="1"/>
  <c r="G50" i="71"/>
  <c r="B102" i="36"/>
  <c r="B64" i="36"/>
  <c r="C64" i="36" s="1"/>
  <c r="D64" i="36" s="1"/>
  <c r="J36" i="56" l="1"/>
  <c r="J37" i="56" s="1"/>
  <c r="A16" i="56"/>
  <c r="A142" i="36"/>
  <c r="D13" i="7"/>
  <c r="B83" i="36"/>
  <c r="C83" i="36" s="1"/>
  <c r="D83" i="36" s="1"/>
  <c r="G83" i="36" s="1"/>
  <c r="H83" i="36" s="1"/>
  <c r="K51" i="75"/>
  <c r="G124" i="76"/>
  <c r="K222" i="51"/>
  <c r="K260" i="64"/>
  <c r="K223" i="51"/>
  <c r="K224" i="51" s="1"/>
  <c r="K89" i="51"/>
  <c r="K90" i="51" s="1"/>
  <c r="J41" i="78"/>
  <c r="F86" i="7"/>
  <c r="H85" i="7"/>
  <c r="A16" i="78"/>
  <c r="A18" i="78" s="1"/>
  <c r="D12" i="59"/>
  <c r="C122" i="36"/>
  <c r="D122" i="36" s="1"/>
  <c r="B123" i="36"/>
  <c r="B65" i="36"/>
  <c r="B84" i="36"/>
  <c r="J82" i="36"/>
  <c r="K82" i="36" s="1"/>
  <c r="G82" i="36"/>
  <c r="H82" i="36" s="1"/>
  <c r="I82" i="36" s="1"/>
  <c r="L82" i="36" s="1"/>
  <c r="A12" i="74"/>
  <c r="D4" i="56"/>
  <c r="K63" i="36"/>
  <c r="F63" i="36"/>
  <c r="G64" i="36"/>
  <c r="H64" i="36" s="1"/>
  <c r="I64" i="36" s="1"/>
  <c r="B27" i="58"/>
  <c r="A85" i="62"/>
  <c r="A21" i="58"/>
  <c r="C106" i="58"/>
  <c r="J7" i="59"/>
  <c r="C102" i="36"/>
  <c r="D102" i="36" s="1"/>
  <c r="B103" i="36"/>
  <c r="G62" i="36"/>
  <c r="H62" i="36" s="1"/>
  <c r="I62" i="36" s="1"/>
  <c r="J64" i="36"/>
  <c r="K64" i="36" s="1"/>
  <c r="J62" i="36"/>
  <c r="K62" i="36" s="1"/>
  <c r="A22" i="36" l="1"/>
  <c r="B22" i="36" s="1"/>
  <c r="C22" i="36" s="1"/>
  <c r="D22" i="36" s="1"/>
  <c r="D127" i="7"/>
  <c r="E85" i="55"/>
  <c r="L45" i="71"/>
  <c r="O46" i="75"/>
  <c r="S21" i="60"/>
  <c r="F47" i="74"/>
  <c r="V1" i="36"/>
  <c r="W1" i="36" s="1"/>
  <c r="V2" i="36"/>
  <c r="W2" i="36" s="1"/>
  <c r="H24" i="70"/>
  <c r="F29" i="76"/>
  <c r="F108" i="76" s="1"/>
  <c r="I11" i="55"/>
  <c r="A2" i="36"/>
  <c r="E3" i="55"/>
  <c r="C68" i="55"/>
  <c r="F21" i="54"/>
  <c r="F95" i="74"/>
  <c r="F136" i="74"/>
  <c r="K45" i="71"/>
  <c r="J83" i="36"/>
  <c r="B142" i="36"/>
  <c r="C142" i="36" s="1"/>
  <c r="D142" i="36" s="1"/>
  <c r="A17" i="56"/>
  <c r="A18" i="56"/>
  <c r="E83" i="36"/>
  <c r="K91" i="51"/>
  <c r="J42" i="78"/>
  <c r="J43" i="78"/>
  <c r="F87" i="7"/>
  <c r="E86" i="7"/>
  <c r="H86" i="7"/>
  <c r="A19" i="78"/>
  <c r="B23" i="36"/>
  <c r="J22" i="36"/>
  <c r="K22" i="36" s="1"/>
  <c r="G22" i="36"/>
  <c r="H22" i="36" s="1"/>
  <c r="I22" i="36" s="1"/>
  <c r="G102" i="36"/>
  <c r="H102" i="36" s="1"/>
  <c r="I102" i="36" s="1"/>
  <c r="J102" i="36"/>
  <c r="K102" i="36" s="1"/>
  <c r="C84" i="36"/>
  <c r="D84" i="36" s="1"/>
  <c r="B85" i="36"/>
  <c r="B66" i="36"/>
  <c r="C65" i="36"/>
  <c r="D65" i="36" s="1"/>
  <c r="C123" i="36"/>
  <c r="D123" i="36" s="1"/>
  <c r="B124" i="36"/>
  <c r="J122" i="36"/>
  <c r="K122" i="36" s="1"/>
  <c r="G122" i="36"/>
  <c r="H122" i="36" s="1"/>
  <c r="I122" i="36" s="1"/>
  <c r="L63" i="36"/>
  <c r="I63" i="36"/>
  <c r="C103" i="36"/>
  <c r="D103" i="36" s="1"/>
  <c r="B104" i="36"/>
  <c r="K83" i="36"/>
  <c r="F83" i="36"/>
  <c r="I83" i="36" s="1"/>
  <c r="B2" i="36" l="1"/>
  <c r="C2" i="36" s="1"/>
  <c r="D2" i="36" s="1"/>
  <c r="J142" i="36"/>
  <c r="K142" i="36" s="1"/>
  <c r="G142" i="36"/>
  <c r="H142" i="36" s="1"/>
  <c r="I142" i="36" s="1"/>
  <c r="X1" i="36"/>
  <c r="X2" i="36"/>
  <c r="L102" i="36"/>
  <c r="A19" i="56"/>
  <c r="A20" i="56" s="1"/>
  <c r="B143" i="36"/>
  <c r="L122" i="36"/>
  <c r="F113" i="74"/>
  <c r="F146" i="74"/>
  <c r="F179" i="74"/>
  <c r="F68" i="74"/>
  <c r="H21" i="65"/>
  <c r="D135" i="7"/>
  <c r="A162" i="36"/>
  <c r="B104" i="74"/>
  <c r="D172" i="74"/>
  <c r="A51" i="74"/>
  <c r="F89" i="7"/>
  <c r="E87" i="7"/>
  <c r="A99" i="74" s="1"/>
  <c r="F88" i="7"/>
  <c r="H88" i="7" s="1"/>
  <c r="H151" i="74" s="1"/>
  <c r="H87" i="7"/>
  <c r="A21" i="78"/>
  <c r="C23" i="36"/>
  <c r="D23" i="36" s="1"/>
  <c r="B24" i="36"/>
  <c r="B105" i="36"/>
  <c r="C104" i="36"/>
  <c r="D104" i="36" s="1"/>
  <c r="J104" i="36" s="1"/>
  <c r="K104" i="36" s="1"/>
  <c r="G123" i="36"/>
  <c r="H123" i="36" s="1"/>
  <c r="E123" i="36"/>
  <c r="J123" i="36"/>
  <c r="C66" i="36"/>
  <c r="D66" i="36" s="1"/>
  <c r="B67" i="36"/>
  <c r="C85" i="36"/>
  <c r="D85" i="36" s="1"/>
  <c r="B86" i="36"/>
  <c r="C124" i="36"/>
  <c r="D124" i="36" s="1"/>
  <c r="B125" i="36"/>
  <c r="J65" i="36"/>
  <c r="K65" i="36" s="1"/>
  <c r="H65" i="36"/>
  <c r="I65" i="36" s="1"/>
  <c r="G65" i="36"/>
  <c r="L83" i="36"/>
  <c r="G84" i="36"/>
  <c r="H84" i="36" s="1"/>
  <c r="I84" i="36" s="1"/>
  <c r="J84" i="36"/>
  <c r="K84" i="36" s="1"/>
  <c r="J103" i="36"/>
  <c r="G103" i="36"/>
  <c r="H103" i="36" s="1"/>
  <c r="E103" i="36"/>
  <c r="C143" i="36" l="1"/>
  <c r="D143" i="36" s="1"/>
  <c r="B144" i="36"/>
  <c r="G2" i="36"/>
  <c r="H2" i="36" s="1"/>
  <c r="I2" i="36" s="1"/>
  <c r="J2" i="36"/>
  <c r="K2" i="36" s="1"/>
  <c r="B3" i="36"/>
  <c r="B18" i="74"/>
  <c r="H127" i="7"/>
  <c r="V3" i="36"/>
  <c r="F21" i="77"/>
  <c r="A42" i="36"/>
  <c r="B42" i="36" s="1"/>
  <c r="C42" i="36" s="1"/>
  <c r="D42" i="36" s="1"/>
  <c r="J42" i="36" s="1"/>
  <c r="K42" i="36" s="1"/>
  <c r="F18" i="58"/>
  <c r="E65" i="62"/>
  <c r="B162" i="36"/>
  <c r="C162" i="36" s="1"/>
  <c r="D162" i="36" s="1"/>
  <c r="H89" i="7"/>
  <c r="I161" i="74"/>
  <c r="L84" i="36"/>
  <c r="A22" i="78"/>
  <c r="C24" i="36"/>
  <c r="D24" i="36" s="1"/>
  <c r="J24" i="36" s="1"/>
  <c r="K24" i="36" s="1"/>
  <c r="B25" i="36"/>
  <c r="G23" i="36"/>
  <c r="H23" i="36" s="1"/>
  <c r="E23" i="36"/>
  <c r="J23" i="36"/>
  <c r="M83" i="36"/>
  <c r="M82" i="36"/>
  <c r="G124" i="36"/>
  <c r="H124" i="36" s="1"/>
  <c r="I124" i="36" s="1"/>
  <c r="J124" i="36"/>
  <c r="K124" i="36" s="1"/>
  <c r="C125" i="36"/>
  <c r="D125" i="36" s="1"/>
  <c r="B126" i="36"/>
  <c r="J85" i="36"/>
  <c r="K85" i="36" s="1"/>
  <c r="G85" i="36"/>
  <c r="H85" i="36" s="1"/>
  <c r="I85" i="36" s="1"/>
  <c r="C86" i="36"/>
  <c r="D86" i="36" s="1"/>
  <c r="B87" i="36"/>
  <c r="F103" i="36"/>
  <c r="I103" i="36" s="1"/>
  <c r="K103" i="36"/>
  <c r="C67" i="36"/>
  <c r="D67" i="36" s="1"/>
  <c r="B68" i="36"/>
  <c r="G104" i="36"/>
  <c r="H104" i="36" s="1"/>
  <c r="I104" i="36" s="1"/>
  <c r="L104" i="36" s="1"/>
  <c r="J66" i="36"/>
  <c r="G66" i="36"/>
  <c r="H66" i="36" s="1"/>
  <c r="E66" i="36"/>
  <c r="C105" i="36"/>
  <c r="D105" i="36" s="1"/>
  <c r="B106" i="36"/>
  <c r="K123" i="36"/>
  <c r="F123" i="36"/>
  <c r="I123" i="36" s="1"/>
  <c r="G42" i="36" l="1"/>
  <c r="H42" i="36" s="1"/>
  <c r="I42" i="36" s="1"/>
  <c r="C3" i="36"/>
  <c r="D3" i="36" s="1"/>
  <c r="B4" i="36"/>
  <c r="B43" i="36"/>
  <c r="C43" i="36" s="1"/>
  <c r="D43" i="36" s="1"/>
  <c r="C144" i="36"/>
  <c r="D144" i="36" s="1"/>
  <c r="B145" i="36"/>
  <c r="J143" i="36"/>
  <c r="G143" i="36"/>
  <c r="H143" i="36" s="1"/>
  <c r="E143" i="36"/>
  <c r="J144" i="36"/>
  <c r="K144" i="36" s="1"/>
  <c r="B163" i="36"/>
  <c r="J162" i="36"/>
  <c r="K162" i="36" s="1"/>
  <c r="G162" i="36"/>
  <c r="H162" i="36" s="1"/>
  <c r="I162" i="36" s="1"/>
  <c r="L124" i="36"/>
  <c r="M123" i="36" s="1"/>
  <c r="L123" i="36"/>
  <c r="L85" i="36"/>
  <c r="A23" i="78"/>
  <c r="A24" i="78" s="1"/>
  <c r="A25" i="78" s="1"/>
  <c r="B26" i="36"/>
  <c r="C25" i="36"/>
  <c r="D25" i="36" s="1"/>
  <c r="K23" i="36"/>
  <c r="F23" i="36"/>
  <c r="G24" i="36"/>
  <c r="H24" i="36" s="1"/>
  <c r="I24" i="36" s="1"/>
  <c r="M84" i="36"/>
  <c r="M122" i="36"/>
  <c r="B69" i="36"/>
  <c r="C68" i="36"/>
  <c r="D68" i="36" s="1"/>
  <c r="C87" i="36"/>
  <c r="D87" i="36" s="1"/>
  <c r="B88" i="36"/>
  <c r="J67" i="36"/>
  <c r="K67" i="36" s="1"/>
  <c r="G67" i="36"/>
  <c r="H67" i="36" s="1"/>
  <c r="I67" i="36" s="1"/>
  <c r="L103" i="36"/>
  <c r="C106" i="36"/>
  <c r="D106" i="36" s="1"/>
  <c r="B107" i="36"/>
  <c r="K66" i="36"/>
  <c r="F66" i="36"/>
  <c r="I66" i="36" s="1"/>
  <c r="E86" i="36"/>
  <c r="J86" i="36"/>
  <c r="G86" i="36"/>
  <c r="H86" i="36" s="1"/>
  <c r="G105" i="36"/>
  <c r="J105" i="36"/>
  <c r="K105" i="36" s="1"/>
  <c r="H105" i="36"/>
  <c r="I105" i="36" s="1"/>
  <c r="L105" i="36" s="1"/>
  <c r="C126" i="36"/>
  <c r="D126" i="36" s="1"/>
  <c r="B127" i="36"/>
  <c r="J125" i="36"/>
  <c r="K125" i="36" s="1"/>
  <c r="G125" i="36"/>
  <c r="H125" i="36" s="1"/>
  <c r="I125" i="36" s="1"/>
  <c r="L125" i="36" s="1"/>
  <c r="K143" i="36" l="1"/>
  <c r="F143" i="36"/>
  <c r="C145" i="36"/>
  <c r="D145" i="36" s="1"/>
  <c r="B146" i="36"/>
  <c r="G144" i="36"/>
  <c r="H144" i="36"/>
  <c r="I144" i="36" s="1"/>
  <c r="G43" i="36"/>
  <c r="H43" i="36" s="1"/>
  <c r="J43" i="36"/>
  <c r="B5" i="36"/>
  <c r="C4" i="36"/>
  <c r="D4" i="36" s="1"/>
  <c r="G4" i="36" s="1"/>
  <c r="H4" i="36" s="1"/>
  <c r="B44" i="36"/>
  <c r="G3" i="36"/>
  <c r="H3" i="36" s="1"/>
  <c r="E3" i="36"/>
  <c r="J3" i="36"/>
  <c r="J4" i="36"/>
  <c r="K4" i="36" s="1"/>
  <c r="E43" i="36"/>
  <c r="C163" i="36"/>
  <c r="D163" i="36" s="1"/>
  <c r="B164" i="36"/>
  <c r="J25" i="36"/>
  <c r="K25" i="36" s="1"/>
  <c r="G25" i="36"/>
  <c r="H25" i="36" s="1"/>
  <c r="I25" i="36" s="1"/>
  <c r="I23" i="36"/>
  <c r="L23" i="36"/>
  <c r="C26" i="36"/>
  <c r="B27" i="36"/>
  <c r="M124" i="36"/>
  <c r="C69" i="36"/>
  <c r="D69" i="36" s="1"/>
  <c r="B70" i="36"/>
  <c r="J68" i="36"/>
  <c r="K68" i="36" s="1"/>
  <c r="G68" i="36"/>
  <c r="H68" i="36" s="1"/>
  <c r="I68" i="36" s="1"/>
  <c r="E106" i="36"/>
  <c r="J106" i="36"/>
  <c r="G106" i="36"/>
  <c r="H106" i="36" s="1"/>
  <c r="F86" i="36"/>
  <c r="I86" i="36" s="1"/>
  <c r="K86" i="36"/>
  <c r="J126" i="36"/>
  <c r="E126" i="36"/>
  <c r="G126" i="36"/>
  <c r="H126" i="36" s="1"/>
  <c r="C88" i="36"/>
  <c r="D88" i="36" s="1"/>
  <c r="B89" i="36"/>
  <c r="C127" i="36"/>
  <c r="D127" i="36" s="1"/>
  <c r="B128" i="36"/>
  <c r="C107" i="36"/>
  <c r="D107" i="36" s="1"/>
  <c r="B108" i="36"/>
  <c r="J87" i="36"/>
  <c r="K87" i="36" s="1"/>
  <c r="G87" i="36"/>
  <c r="H87" i="36" s="1"/>
  <c r="I87" i="36" s="1"/>
  <c r="L87" i="36" s="1"/>
  <c r="M103" i="36"/>
  <c r="M102" i="36"/>
  <c r="M104" i="36"/>
  <c r="I4" i="36" l="1"/>
  <c r="F3" i="36"/>
  <c r="K3" i="36"/>
  <c r="J145" i="36"/>
  <c r="K145" i="36" s="1"/>
  <c r="G145" i="36"/>
  <c r="H145" i="36"/>
  <c r="I145" i="36" s="1"/>
  <c r="C146" i="36"/>
  <c r="D146" i="36" s="1"/>
  <c r="B147" i="36"/>
  <c r="I143" i="36"/>
  <c r="L143" i="36"/>
  <c r="C44" i="36"/>
  <c r="D44" i="36" s="1"/>
  <c r="B45" i="36"/>
  <c r="C5" i="36"/>
  <c r="D5" i="36" s="1"/>
  <c r="B6" i="36"/>
  <c r="K43" i="36"/>
  <c r="F43" i="36"/>
  <c r="C164" i="36"/>
  <c r="D164" i="36" s="1"/>
  <c r="B165" i="36"/>
  <c r="J163" i="36"/>
  <c r="E163" i="36"/>
  <c r="G163" i="36"/>
  <c r="H163" i="36" s="1"/>
  <c r="L86" i="36"/>
  <c r="M85" i="36" s="1"/>
  <c r="E26" i="36"/>
  <c r="J26" i="36"/>
  <c r="G26" i="36"/>
  <c r="H26" i="36" s="1"/>
  <c r="C27" i="36"/>
  <c r="D27" i="36" s="1"/>
  <c r="B28" i="36"/>
  <c r="M86" i="36"/>
  <c r="J127" i="36"/>
  <c r="K127" i="36" s="1"/>
  <c r="G127" i="36"/>
  <c r="H127" i="36" s="1"/>
  <c r="I127" i="36" s="1"/>
  <c r="L127" i="36" s="1"/>
  <c r="C128" i="36"/>
  <c r="D128" i="36" s="1"/>
  <c r="B129" i="36"/>
  <c r="C70" i="36"/>
  <c r="D70" i="36" s="1"/>
  <c r="B71" i="36"/>
  <c r="I107" i="36"/>
  <c r="L107" i="36" s="1"/>
  <c r="K106" i="36"/>
  <c r="F106" i="36"/>
  <c r="I106" i="36" s="1"/>
  <c r="J69" i="36"/>
  <c r="G69" i="36"/>
  <c r="H69" i="36" s="1"/>
  <c r="E69" i="36"/>
  <c r="C108" i="36"/>
  <c r="D108" i="36" s="1"/>
  <c r="B109" i="36"/>
  <c r="J88" i="36"/>
  <c r="K88" i="36" s="1"/>
  <c r="G88" i="36"/>
  <c r="H88" i="36" s="1"/>
  <c r="I88" i="36" s="1"/>
  <c r="L88" i="36" s="1"/>
  <c r="G107" i="36"/>
  <c r="J107" i="36"/>
  <c r="K107" i="36" s="1"/>
  <c r="H107" i="36"/>
  <c r="C89" i="36"/>
  <c r="D89" i="36" s="1"/>
  <c r="B90" i="36"/>
  <c r="K126" i="36"/>
  <c r="F126" i="36"/>
  <c r="I126" i="36" s="1"/>
  <c r="L126" i="36" s="1"/>
  <c r="B7" i="36" l="1"/>
  <c r="C6" i="36"/>
  <c r="D6" i="36" s="1"/>
  <c r="J5" i="36"/>
  <c r="K5" i="36" s="1"/>
  <c r="G5" i="36"/>
  <c r="H5" i="36" s="1"/>
  <c r="I5" i="36" s="1"/>
  <c r="C45" i="36"/>
  <c r="D45" i="36" s="1"/>
  <c r="B46" i="36"/>
  <c r="J44" i="36"/>
  <c r="K44" i="36" s="1"/>
  <c r="G44" i="36"/>
  <c r="H44" i="36" s="1"/>
  <c r="I44" i="36" s="1"/>
  <c r="C147" i="36"/>
  <c r="D147" i="36" s="1"/>
  <c r="B148" i="36"/>
  <c r="L43" i="36"/>
  <c r="I43" i="36"/>
  <c r="J146" i="36"/>
  <c r="G146" i="36"/>
  <c r="H146" i="36" s="1"/>
  <c r="E146" i="36"/>
  <c r="I3" i="36"/>
  <c r="L3" i="36"/>
  <c r="F163" i="36"/>
  <c r="K163" i="36"/>
  <c r="B166" i="36"/>
  <c r="C165" i="36"/>
  <c r="D165" i="36" s="1"/>
  <c r="J164" i="36"/>
  <c r="K164" i="36" s="1"/>
  <c r="G164" i="36"/>
  <c r="H164" i="36" s="1"/>
  <c r="I164" i="36" s="1"/>
  <c r="G27" i="36"/>
  <c r="H27" i="36" s="1"/>
  <c r="I27" i="36" s="1"/>
  <c r="J27" i="36"/>
  <c r="K27" i="36" s="1"/>
  <c r="F26" i="36"/>
  <c r="I26" i="36" s="1"/>
  <c r="K26" i="36"/>
  <c r="B29" i="36"/>
  <c r="C28" i="36"/>
  <c r="D28" i="36" s="1"/>
  <c r="M87" i="36"/>
  <c r="C109" i="36"/>
  <c r="D109" i="36" s="1"/>
  <c r="B110" i="36"/>
  <c r="K69" i="36"/>
  <c r="F69" i="36"/>
  <c r="I69" i="36" s="1"/>
  <c r="M126" i="36"/>
  <c r="M125" i="36"/>
  <c r="C90" i="36"/>
  <c r="D90" i="36" s="1"/>
  <c r="B91" i="36"/>
  <c r="L106" i="36"/>
  <c r="J128" i="36"/>
  <c r="K128" i="36" s="1"/>
  <c r="G128" i="36"/>
  <c r="H128" i="36" s="1"/>
  <c r="I128" i="36" s="1"/>
  <c r="L128" i="36" s="1"/>
  <c r="E89" i="36"/>
  <c r="J89" i="36"/>
  <c r="G89" i="36"/>
  <c r="H89" i="36" s="1"/>
  <c r="J70" i="36"/>
  <c r="K70" i="36" s="1"/>
  <c r="G70" i="36"/>
  <c r="H70" i="36" s="1"/>
  <c r="I70" i="36" s="1"/>
  <c r="C129" i="36"/>
  <c r="D129" i="36" s="1"/>
  <c r="B130" i="36"/>
  <c r="B72" i="36"/>
  <c r="C71" i="36"/>
  <c r="D71" i="36" s="1"/>
  <c r="J108" i="36"/>
  <c r="K108" i="36" s="1"/>
  <c r="G108" i="36"/>
  <c r="H108" i="36"/>
  <c r="I108" i="36" s="1"/>
  <c r="L108" i="36" s="1"/>
  <c r="K146" i="36" l="1"/>
  <c r="F146" i="36"/>
  <c r="I146" i="36" s="1"/>
  <c r="C148" i="36"/>
  <c r="D148" i="36" s="1"/>
  <c r="B149" i="36"/>
  <c r="C46" i="36"/>
  <c r="D46" i="36" s="1"/>
  <c r="B47" i="36"/>
  <c r="G6" i="36"/>
  <c r="H6" i="36" s="1"/>
  <c r="J6" i="36"/>
  <c r="E6" i="36"/>
  <c r="G147" i="36"/>
  <c r="H147" i="36" s="1"/>
  <c r="I147" i="36" s="1"/>
  <c r="J147" i="36"/>
  <c r="K147" i="36" s="1"/>
  <c r="J45" i="36"/>
  <c r="K45" i="36" s="1"/>
  <c r="G45" i="36"/>
  <c r="H45" i="36" s="1"/>
  <c r="I45" i="36" s="1"/>
  <c r="C7" i="36"/>
  <c r="D7" i="36" s="1"/>
  <c r="B8" i="36"/>
  <c r="C166" i="36"/>
  <c r="D166" i="36" s="1"/>
  <c r="B167" i="36"/>
  <c r="G165" i="36"/>
  <c r="H165" i="36" s="1"/>
  <c r="I165" i="36" s="1"/>
  <c r="J165" i="36"/>
  <c r="K165" i="36" s="1"/>
  <c r="I163" i="36"/>
  <c r="L163" i="36"/>
  <c r="J28" i="36"/>
  <c r="K28" i="36" s="1"/>
  <c r="G28" i="36"/>
  <c r="H28" i="36" s="1"/>
  <c r="I28" i="36" s="1"/>
  <c r="C29" i="36"/>
  <c r="D29" i="36" s="1"/>
  <c r="B30" i="36"/>
  <c r="M127" i="36"/>
  <c r="J71" i="36"/>
  <c r="K71" i="36" s="1"/>
  <c r="G71" i="36"/>
  <c r="H71" i="36" s="1"/>
  <c r="I71" i="36" s="1"/>
  <c r="M107" i="36"/>
  <c r="C110" i="36"/>
  <c r="D110" i="36" s="1"/>
  <c r="B111" i="36"/>
  <c r="C91" i="36"/>
  <c r="D91" i="36" s="1"/>
  <c r="B92" i="36"/>
  <c r="E109" i="36"/>
  <c r="J109" i="36"/>
  <c r="G109" i="36"/>
  <c r="H109" i="36" s="1"/>
  <c r="J90" i="36"/>
  <c r="K90" i="36" s="1"/>
  <c r="G90" i="36"/>
  <c r="H90" i="36" s="1"/>
  <c r="I90" i="36" s="1"/>
  <c r="L90" i="36" s="1"/>
  <c r="F89" i="36"/>
  <c r="I89" i="36" s="1"/>
  <c r="K89" i="36"/>
  <c r="J129" i="36"/>
  <c r="E129" i="36"/>
  <c r="G129" i="36"/>
  <c r="H129" i="36" s="1"/>
  <c r="B73" i="36"/>
  <c r="C72" i="36"/>
  <c r="D72" i="36" s="1"/>
  <c r="C130" i="36"/>
  <c r="D130" i="36" s="1"/>
  <c r="B131" i="36"/>
  <c r="M106" i="36"/>
  <c r="M105" i="36"/>
  <c r="G7" i="36" l="1"/>
  <c r="H7" i="36" s="1"/>
  <c r="I7" i="36" s="1"/>
  <c r="J7" i="36"/>
  <c r="K7" i="36" s="1"/>
  <c r="F6" i="36"/>
  <c r="I6" i="36" s="1"/>
  <c r="K6" i="36"/>
  <c r="J148" i="36"/>
  <c r="K148" i="36" s="1"/>
  <c r="G148" i="36"/>
  <c r="H148" i="36"/>
  <c r="I148" i="36" s="1"/>
  <c r="B48" i="36"/>
  <c r="C47" i="36"/>
  <c r="D47" i="36" s="1"/>
  <c r="C149" i="36"/>
  <c r="D149" i="36" s="1"/>
  <c r="B150" i="36"/>
  <c r="J46" i="36"/>
  <c r="G46" i="36"/>
  <c r="H46" i="36" s="1"/>
  <c r="E46" i="36"/>
  <c r="B9" i="36"/>
  <c r="C8" i="36"/>
  <c r="D8" i="36" s="1"/>
  <c r="B168" i="36"/>
  <c r="C167" i="36"/>
  <c r="D167" i="36" s="1"/>
  <c r="E166" i="36"/>
  <c r="J166" i="36"/>
  <c r="G166" i="36"/>
  <c r="H166" i="36" s="1"/>
  <c r="G29" i="36"/>
  <c r="H29" i="36" s="1"/>
  <c r="E29" i="36"/>
  <c r="J29" i="36"/>
  <c r="B31" i="36"/>
  <c r="C30" i="36"/>
  <c r="D30" i="36" s="1"/>
  <c r="J130" i="36"/>
  <c r="K130" i="36" s="1"/>
  <c r="G130" i="36"/>
  <c r="H130" i="36" s="1"/>
  <c r="I130" i="36" s="1"/>
  <c r="L130" i="36" s="1"/>
  <c r="J72" i="36"/>
  <c r="G72" i="36"/>
  <c r="H72" i="36" s="1"/>
  <c r="E72" i="36"/>
  <c r="F129" i="36"/>
  <c r="I129" i="36" s="1"/>
  <c r="K129" i="36"/>
  <c r="C111" i="36"/>
  <c r="D111" i="36" s="1"/>
  <c r="B112" i="36"/>
  <c r="C92" i="36"/>
  <c r="D92" i="36" s="1"/>
  <c r="B93" i="36"/>
  <c r="C131" i="36"/>
  <c r="D131" i="36" s="1"/>
  <c r="B132" i="36"/>
  <c r="K109" i="36"/>
  <c r="F109" i="36"/>
  <c r="I109" i="36" s="1"/>
  <c r="G110" i="36"/>
  <c r="H110" i="36" s="1"/>
  <c r="I110" i="36" s="1"/>
  <c r="J110" i="36"/>
  <c r="K110" i="36" s="1"/>
  <c r="J91" i="36"/>
  <c r="K91" i="36" s="1"/>
  <c r="G91" i="36"/>
  <c r="H91" i="36" s="1"/>
  <c r="I91" i="36" s="1"/>
  <c r="L91" i="36" s="1"/>
  <c r="C73" i="36"/>
  <c r="D73" i="36" s="1"/>
  <c r="B74" i="36"/>
  <c r="L89" i="36"/>
  <c r="C9" i="36" l="1"/>
  <c r="D9" i="36" s="1"/>
  <c r="B10" i="36"/>
  <c r="K46" i="36"/>
  <c r="F46" i="36"/>
  <c r="I46" i="36" s="1"/>
  <c r="C150" i="36"/>
  <c r="D150" i="36" s="1"/>
  <c r="B151" i="36"/>
  <c r="J149" i="36"/>
  <c r="G149" i="36"/>
  <c r="H149" i="36" s="1"/>
  <c r="E149" i="36"/>
  <c r="G47" i="36"/>
  <c r="H47" i="36" s="1"/>
  <c r="I47" i="36" s="1"/>
  <c r="J47" i="36"/>
  <c r="K47" i="36" s="1"/>
  <c r="C48" i="36"/>
  <c r="D48" i="36" s="1"/>
  <c r="B49" i="36"/>
  <c r="J8" i="36"/>
  <c r="K8" i="36" s="1"/>
  <c r="G8" i="36"/>
  <c r="H8" i="36" s="1"/>
  <c r="I8" i="36" s="1"/>
  <c r="K166" i="36"/>
  <c r="F166" i="36"/>
  <c r="I166" i="36" s="1"/>
  <c r="J167" i="36"/>
  <c r="K167" i="36" s="1"/>
  <c r="G167" i="36"/>
  <c r="H167" i="36" s="1"/>
  <c r="I167" i="36" s="1"/>
  <c r="C168" i="36"/>
  <c r="D168" i="36" s="1"/>
  <c r="B169" i="36"/>
  <c r="L110" i="36"/>
  <c r="L109" i="36"/>
  <c r="J30" i="36"/>
  <c r="K30" i="36" s="1"/>
  <c r="G30" i="36"/>
  <c r="H30" i="36" s="1"/>
  <c r="I30" i="36" s="1"/>
  <c r="K29" i="36"/>
  <c r="F29" i="36"/>
  <c r="I29" i="36" s="1"/>
  <c r="B32" i="36"/>
  <c r="C31" i="36"/>
  <c r="D31" i="36" s="1"/>
  <c r="M90" i="36"/>
  <c r="M89" i="36"/>
  <c r="M88" i="36"/>
  <c r="J131" i="36"/>
  <c r="K131" i="36" s="1"/>
  <c r="G131" i="36"/>
  <c r="H131" i="36" s="1"/>
  <c r="I131" i="36" s="1"/>
  <c r="K72" i="36"/>
  <c r="F72" i="36"/>
  <c r="I72" i="36" s="1"/>
  <c r="M109" i="36"/>
  <c r="M108" i="36"/>
  <c r="G73" i="36"/>
  <c r="H73" i="36" s="1"/>
  <c r="I73" i="36" s="1"/>
  <c r="J92" i="36"/>
  <c r="G92" i="36"/>
  <c r="H92" i="36" s="1"/>
  <c r="E92" i="36"/>
  <c r="C112" i="36"/>
  <c r="D112" i="36" s="1"/>
  <c r="B113" i="36"/>
  <c r="C93" i="36"/>
  <c r="D93" i="36" s="1"/>
  <c r="B94" i="36"/>
  <c r="G111" i="36"/>
  <c r="H111" i="36" s="1"/>
  <c r="I111" i="36" s="1"/>
  <c r="J111" i="36"/>
  <c r="K111" i="36" s="1"/>
  <c r="L129" i="36"/>
  <c r="C132" i="36"/>
  <c r="D132" i="36" s="1"/>
  <c r="B133" i="36"/>
  <c r="C74" i="36"/>
  <c r="D74" i="36" s="1"/>
  <c r="B75" i="36"/>
  <c r="C75" i="36" s="1"/>
  <c r="D75" i="36" s="1"/>
  <c r="C49" i="36" l="1"/>
  <c r="D49" i="36" s="1"/>
  <c r="B50" i="36"/>
  <c r="G48" i="36"/>
  <c r="H48" i="36" s="1"/>
  <c r="I48" i="36" s="1"/>
  <c r="J48" i="36"/>
  <c r="K48" i="36" s="1"/>
  <c r="K149" i="36"/>
  <c r="F149" i="36"/>
  <c r="I149" i="36" s="1"/>
  <c r="C10" i="36"/>
  <c r="D10" i="36" s="1"/>
  <c r="B11" i="36"/>
  <c r="C151" i="36"/>
  <c r="D151" i="36" s="1"/>
  <c r="B152" i="36"/>
  <c r="J9" i="36"/>
  <c r="E9" i="36"/>
  <c r="G9" i="36"/>
  <c r="H9" i="36" s="1"/>
  <c r="G150" i="36"/>
  <c r="H150" i="36"/>
  <c r="I150" i="36" s="1"/>
  <c r="J150" i="36"/>
  <c r="K150" i="36" s="1"/>
  <c r="C169" i="36"/>
  <c r="D169" i="36" s="1"/>
  <c r="B170" i="36"/>
  <c r="J168" i="36"/>
  <c r="K168" i="36" s="1"/>
  <c r="G168" i="36"/>
  <c r="H168" i="36" s="1"/>
  <c r="I168" i="36" s="1"/>
  <c r="L131" i="36"/>
  <c r="M130" i="36" s="1"/>
  <c r="L111" i="36"/>
  <c r="M110" i="36" s="1"/>
  <c r="J31" i="36"/>
  <c r="K31" i="36" s="1"/>
  <c r="G31" i="36"/>
  <c r="H31" i="36" s="1"/>
  <c r="I31" i="36" s="1"/>
  <c r="B33" i="36"/>
  <c r="C32" i="36"/>
  <c r="D32" i="36" s="1"/>
  <c r="C94" i="36"/>
  <c r="D94" i="36" s="1"/>
  <c r="B95" i="36"/>
  <c r="C95" i="36" s="1"/>
  <c r="D95" i="36" s="1"/>
  <c r="C113" i="36"/>
  <c r="D113" i="36" s="1"/>
  <c r="B114" i="36"/>
  <c r="G75" i="36"/>
  <c r="H75" i="36" s="1"/>
  <c r="F92" i="36"/>
  <c r="I92" i="36" s="1"/>
  <c r="K92" i="36"/>
  <c r="G112" i="36"/>
  <c r="H112" i="36" s="1"/>
  <c r="E112" i="36"/>
  <c r="J112" i="36"/>
  <c r="J74" i="36"/>
  <c r="J73" i="36"/>
  <c r="K73" i="36" s="1"/>
  <c r="J75" i="36"/>
  <c r="K75" i="36" s="1"/>
  <c r="G74" i="36"/>
  <c r="H74" i="36" s="1"/>
  <c r="E74" i="36"/>
  <c r="G132" i="36"/>
  <c r="H132" i="36" s="1"/>
  <c r="J132" i="36"/>
  <c r="E132" i="36"/>
  <c r="G93" i="36"/>
  <c r="H93" i="36" s="1"/>
  <c r="I93" i="36" s="1"/>
  <c r="C133" i="36"/>
  <c r="D133" i="36" s="1"/>
  <c r="B134" i="36"/>
  <c r="M129" i="36"/>
  <c r="M128" i="36"/>
  <c r="K9" i="36" l="1"/>
  <c r="F9" i="36"/>
  <c r="I9" i="36" s="1"/>
  <c r="C152" i="36"/>
  <c r="D152" i="36" s="1"/>
  <c r="B153" i="36"/>
  <c r="J151" i="36"/>
  <c r="K151" i="36" s="1"/>
  <c r="G151" i="36"/>
  <c r="H151" i="36"/>
  <c r="I151" i="36" s="1"/>
  <c r="J10" i="36"/>
  <c r="K10" i="36" s="1"/>
  <c r="G10" i="36"/>
  <c r="H10" i="36" s="1"/>
  <c r="I10" i="36" s="1"/>
  <c r="C11" i="36"/>
  <c r="D11" i="36" s="1"/>
  <c r="B12" i="36"/>
  <c r="C50" i="36"/>
  <c r="D50" i="36" s="1"/>
  <c r="B51" i="36"/>
  <c r="J49" i="36"/>
  <c r="G49" i="36"/>
  <c r="H49" i="36" s="1"/>
  <c r="E49" i="36"/>
  <c r="B171" i="36"/>
  <c r="C170" i="36"/>
  <c r="D170" i="36" s="1"/>
  <c r="G169" i="36"/>
  <c r="H169" i="36" s="1"/>
  <c r="J169" i="36"/>
  <c r="E169" i="36"/>
  <c r="B34" i="36"/>
  <c r="C33" i="36"/>
  <c r="D33" i="36" s="1"/>
  <c r="J32" i="36"/>
  <c r="G32" i="36"/>
  <c r="H32" i="36" s="1"/>
  <c r="E32" i="36"/>
  <c r="G133" i="36"/>
  <c r="H133" i="36" s="1"/>
  <c r="I133" i="36" s="1"/>
  <c r="C114" i="36"/>
  <c r="D114" i="36" s="1"/>
  <c r="B115" i="36"/>
  <c r="C115" i="36" s="1"/>
  <c r="D115" i="36" s="1"/>
  <c r="F132" i="36"/>
  <c r="I132" i="36" s="1"/>
  <c r="K132" i="36"/>
  <c r="G113" i="36"/>
  <c r="H113" i="36" s="1"/>
  <c r="I113" i="36" s="1"/>
  <c r="F112" i="36"/>
  <c r="I112" i="36" s="1"/>
  <c r="K112" i="36"/>
  <c r="C134" i="36"/>
  <c r="D134" i="36" s="1"/>
  <c r="B135" i="36"/>
  <c r="C135" i="36" s="1"/>
  <c r="D135" i="36" s="1"/>
  <c r="G94" i="36"/>
  <c r="H94" i="36" s="1"/>
  <c r="I94" i="36" s="1"/>
  <c r="L94" i="36" s="1"/>
  <c r="J93" i="36"/>
  <c r="K93" i="36" s="1"/>
  <c r="L93" i="36" s="1"/>
  <c r="G95" i="36"/>
  <c r="H95" i="36" s="1"/>
  <c r="I95" i="36" s="1"/>
  <c r="L95" i="36" s="1"/>
  <c r="F74" i="36"/>
  <c r="I74" i="36" s="1"/>
  <c r="I75" i="36"/>
  <c r="K74" i="36"/>
  <c r="L92" i="36"/>
  <c r="B52" i="36" l="1"/>
  <c r="C51" i="36"/>
  <c r="D51" i="36" s="1"/>
  <c r="J11" i="36"/>
  <c r="K11" i="36" s="1"/>
  <c r="G11" i="36"/>
  <c r="H11" i="36" s="1"/>
  <c r="I11" i="36" s="1"/>
  <c r="C153" i="36"/>
  <c r="D153" i="36" s="1"/>
  <c r="B154" i="36"/>
  <c r="J50" i="36"/>
  <c r="K50" i="36" s="1"/>
  <c r="G50" i="36"/>
  <c r="H50" i="36" s="1"/>
  <c r="I50" i="36" s="1"/>
  <c r="B13" i="36"/>
  <c r="C12" i="36"/>
  <c r="D12" i="36" s="1"/>
  <c r="J152" i="36"/>
  <c r="E152" i="36"/>
  <c r="G152" i="36"/>
  <c r="H152" i="36" s="1"/>
  <c r="A61" i="36"/>
  <c r="E126" i="7" s="1"/>
  <c r="K49" i="36"/>
  <c r="F49" i="36"/>
  <c r="I49" i="36" s="1"/>
  <c r="K169" i="36"/>
  <c r="F169" i="36"/>
  <c r="I169" i="36" s="1"/>
  <c r="J170" i="36"/>
  <c r="K170" i="36" s="1"/>
  <c r="G170" i="36"/>
  <c r="H170" i="36" s="1"/>
  <c r="I170" i="36" s="1"/>
  <c r="B172" i="36"/>
  <c r="C171" i="36"/>
  <c r="D171" i="36" s="1"/>
  <c r="M93" i="36"/>
  <c r="G33" i="36"/>
  <c r="H33" i="36" s="1"/>
  <c r="I33" i="36" s="1"/>
  <c r="K32" i="36"/>
  <c r="F32" i="36"/>
  <c r="I32" i="36" s="1"/>
  <c r="C34" i="36"/>
  <c r="D34" i="36" s="1"/>
  <c r="B35" i="36"/>
  <c r="C35" i="36" s="1"/>
  <c r="D35" i="36" s="1"/>
  <c r="M92" i="36"/>
  <c r="M91" i="36"/>
  <c r="J133" i="36"/>
  <c r="K133" i="36" s="1"/>
  <c r="L133" i="36" s="1"/>
  <c r="G134" i="36"/>
  <c r="H134" i="36" s="1"/>
  <c r="I134" i="36" s="1"/>
  <c r="L134" i="36" s="1"/>
  <c r="L132" i="36"/>
  <c r="M94" i="36"/>
  <c r="G114" i="36"/>
  <c r="H114" i="36" s="1"/>
  <c r="I114" i="36" s="1"/>
  <c r="L114" i="36" s="1"/>
  <c r="J113" i="36"/>
  <c r="K113" i="36" s="1"/>
  <c r="L113" i="36" s="1"/>
  <c r="G135" i="36"/>
  <c r="H135" i="36" s="1"/>
  <c r="I135" i="36" s="1"/>
  <c r="L135" i="36" s="1"/>
  <c r="L112" i="36"/>
  <c r="G115" i="36"/>
  <c r="H115" i="36" s="1"/>
  <c r="I115" i="36" s="1"/>
  <c r="L115" i="36" s="1"/>
  <c r="J12" i="36" l="1"/>
  <c r="E12" i="36"/>
  <c r="G12" i="36"/>
  <c r="H12" i="36" s="1"/>
  <c r="M134" i="36"/>
  <c r="C13" i="36"/>
  <c r="D13" i="36" s="1"/>
  <c r="G13" i="36" s="1"/>
  <c r="H13" i="36" s="1"/>
  <c r="I13" i="36" s="1"/>
  <c r="B14" i="36"/>
  <c r="C154" i="36"/>
  <c r="D154" i="36" s="1"/>
  <c r="B155" i="36"/>
  <c r="C155" i="36" s="1"/>
  <c r="D155" i="36" s="1"/>
  <c r="K152" i="36"/>
  <c r="F152" i="36"/>
  <c r="I152" i="36" s="1"/>
  <c r="G153" i="36"/>
  <c r="H153" i="36" s="1"/>
  <c r="I153" i="36" s="1"/>
  <c r="G51" i="36"/>
  <c r="H51" i="36" s="1"/>
  <c r="I51" i="36" s="1"/>
  <c r="J51" i="36"/>
  <c r="K51" i="36" s="1"/>
  <c r="B53" i="36"/>
  <c r="C52" i="36"/>
  <c r="D52" i="36" s="1"/>
  <c r="C172" i="36"/>
  <c r="D172" i="36" s="1"/>
  <c r="B173" i="36"/>
  <c r="J171" i="36"/>
  <c r="K171" i="36" s="1"/>
  <c r="G171" i="36"/>
  <c r="H171" i="36" s="1"/>
  <c r="I171" i="36" s="1"/>
  <c r="A81" i="36"/>
  <c r="E16" i="7" s="1"/>
  <c r="G35" i="36"/>
  <c r="H35" i="36" s="1"/>
  <c r="J34" i="36"/>
  <c r="G34" i="36"/>
  <c r="H34" i="36" s="1"/>
  <c r="E34" i="36"/>
  <c r="J33" i="36"/>
  <c r="K33" i="36" s="1"/>
  <c r="J35" i="36"/>
  <c r="K35" i="36" s="1"/>
  <c r="M114" i="36"/>
  <c r="M133" i="36"/>
  <c r="M113" i="36"/>
  <c r="H22" i="65"/>
  <c r="A49" i="61"/>
  <c r="F96" i="51"/>
  <c r="F129" i="64"/>
  <c r="A33" i="68"/>
  <c r="M112" i="36"/>
  <c r="M111" i="36"/>
  <c r="M132" i="36"/>
  <c r="M131" i="36"/>
  <c r="A121" i="36" s="1"/>
  <c r="F138" i="7" s="1"/>
  <c r="A103" i="61" s="1"/>
  <c r="C14" i="36" l="1"/>
  <c r="D14" i="36" s="1"/>
  <c r="B15" i="36"/>
  <c r="C15" i="36" s="1"/>
  <c r="D15" i="36" s="1"/>
  <c r="G15" i="36" s="1"/>
  <c r="H15" i="36" s="1"/>
  <c r="C53" i="36"/>
  <c r="D53" i="36" s="1"/>
  <c r="G53" i="36" s="1"/>
  <c r="H53" i="36" s="1"/>
  <c r="B54" i="36"/>
  <c r="G155" i="36"/>
  <c r="H155" i="36"/>
  <c r="H154" i="36"/>
  <c r="G154" i="36"/>
  <c r="J154" i="36"/>
  <c r="J155" i="36"/>
  <c r="K155" i="36" s="1"/>
  <c r="E154" i="36"/>
  <c r="J153" i="36"/>
  <c r="K153" i="36" s="1"/>
  <c r="F12" i="36"/>
  <c r="I12" i="36" s="1"/>
  <c r="K12" i="36"/>
  <c r="E52" i="36"/>
  <c r="G52" i="36"/>
  <c r="H52" i="36" s="1"/>
  <c r="J52" i="36"/>
  <c r="C173" i="36"/>
  <c r="D173" i="36" s="1"/>
  <c r="G173" i="36" s="1"/>
  <c r="H173" i="36" s="1"/>
  <c r="B174" i="36"/>
  <c r="J172" i="36"/>
  <c r="G172" i="36"/>
  <c r="H172" i="36" s="1"/>
  <c r="E172" i="36"/>
  <c r="A101" i="36"/>
  <c r="E132" i="7" s="1"/>
  <c r="A52" i="61" s="1"/>
  <c r="F34" i="36"/>
  <c r="I34" i="36" s="1"/>
  <c r="A21" i="36" s="1"/>
  <c r="I35" i="36"/>
  <c r="K34" i="36"/>
  <c r="K52" i="36" l="1"/>
  <c r="F52" i="36"/>
  <c r="I52" i="36" s="1"/>
  <c r="K154" i="36"/>
  <c r="F154" i="36"/>
  <c r="I154" i="36" s="1"/>
  <c r="A141" i="36" s="1"/>
  <c r="D46" i="71" s="1"/>
  <c r="I155" i="36"/>
  <c r="B55" i="36"/>
  <c r="C55" i="36" s="1"/>
  <c r="D55" i="36" s="1"/>
  <c r="C54" i="36"/>
  <c r="D54" i="36" s="1"/>
  <c r="I53" i="36"/>
  <c r="E14" i="36"/>
  <c r="J13" i="36"/>
  <c r="K13" i="36" s="1"/>
  <c r="J14" i="36"/>
  <c r="J15" i="36"/>
  <c r="K15" i="36" s="1"/>
  <c r="G14" i="36"/>
  <c r="H14" i="36" s="1"/>
  <c r="F172" i="36"/>
  <c r="I172" i="36" s="1"/>
  <c r="K172" i="36"/>
  <c r="B175" i="36"/>
  <c r="C175" i="36" s="1"/>
  <c r="D175" i="36" s="1"/>
  <c r="G175" i="36" s="1"/>
  <c r="H175" i="36" s="1"/>
  <c r="C174" i="36"/>
  <c r="D174" i="36" s="1"/>
  <c r="I173" i="36"/>
  <c r="E127" i="7"/>
  <c r="D38" i="56"/>
  <c r="J53" i="36" l="1"/>
  <c r="K53" i="36" s="1"/>
  <c r="J55" i="36"/>
  <c r="K55" i="36" s="1"/>
  <c r="G54" i="36"/>
  <c r="H54" i="36" s="1"/>
  <c r="E54" i="36"/>
  <c r="J54" i="36"/>
  <c r="K14" i="36"/>
  <c r="F14" i="36"/>
  <c r="I14" i="36" s="1"/>
  <c r="A1" i="36" s="1"/>
  <c r="E13" i="7" s="1"/>
  <c r="F22" i="54" s="1"/>
  <c r="I15" i="36"/>
  <c r="G55" i="36"/>
  <c r="H55" i="36"/>
  <c r="E174" i="36"/>
  <c r="J173" i="36"/>
  <c r="K173" i="36" s="1"/>
  <c r="J175" i="36"/>
  <c r="K175" i="36" s="1"/>
  <c r="J174" i="36"/>
  <c r="G174" i="36"/>
  <c r="H174" i="36" s="1"/>
  <c r="F126" i="64"/>
  <c r="A20" i="67"/>
  <c r="D17" i="64"/>
  <c r="D245" i="51"/>
  <c r="O30" i="68"/>
  <c r="F147" i="74"/>
  <c r="O71" i="61"/>
  <c r="D17" i="51"/>
  <c r="F114" i="74"/>
  <c r="F180" i="74"/>
  <c r="D280" i="64"/>
  <c r="K54" i="36" l="1"/>
  <c r="F54" i="36"/>
  <c r="I54" i="36" s="1"/>
  <c r="I55" i="36"/>
  <c r="I175" i="36"/>
  <c r="K174" i="36"/>
  <c r="F174" i="36"/>
  <c r="I174" i="36" s="1"/>
  <c r="A161" i="36" l="1"/>
  <c r="E44" i="78" s="1"/>
  <c r="A41" i="36"/>
  <c r="E135" i="7" s="1"/>
  <c r="A25" i="62" l="1"/>
  <c r="F19" i="58"/>
  <c r="F34" i="66"/>
  <c r="F22" i="77"/>
  <c r="E69" i="6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Ika Kurnia Mustika</author>
  </authors>
  <commentList>
    <comment ref="B51" authorId="0" shapeId="0" xr:uid="{00000000-0006-0000-0000-000001000000}">
      <text>
        <r>
          <rPr>
            <b/>
            <sz val="9"/>
            <rFont val="Tahoma"/>
            <family val="2"/>
          </rPr>
          <t>Ika Kurnia Mustika:</t>
        </r>
        <r>
          <rPr>
            <sz val="9"/>
            <rFont val="Tahoma"/>
            <family val="2"/>
          </rPr>
          <t xml:space="preserve">
sengaja dipisah buat penunjukan langsung oleh pokmil di UKPBJ</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Ika Kurnia Mustika</author>
  </authors>
  <commentList>
    <comment ref="C91" authorId="0" shapeId="0" xr:uid="{00000000-0006-0000-0B00-000001000000}">
      <text>
        <r>
          <rPr>
            <b/>
            <sz val="9"/>
            <rFont val="Tahoma"/>
            <family val="2"/>
          </rPr>
          <t>Ika Kurnia Mustika:</t>
        </r>
        <r>
          <rPr>
            <sz val="9"/>
            <rFont val="Tahoma"/>
            <family val="2"/>
          </rPr>
          <t xml:space="preserve">
SIUP, IUI, IUMK, SIUJK, dst</t>
        </r>
      </text>
    </comment>
    <comment ref="B104" authorId="0" shapeId="0" xr:uid="{00000000-0006-0000-0B00-000002000000}">
      <text>
        <r>
          <rPr>
            <b/>
            <sz val="9"/>
            <rFont val="Tahoma"/>
            <family val="2"/>
          </rPr>
          <t>Ika Kurnia Mustika:</t>
        </r>
        <r>
          <rPr>
            <sz val="9"/>
            <rFont val="Tahoma"/>
            <family val="2"/>
          </rPr>
          <t xml:space="preserve">
Konstruksi sepertinya nggak ada persyaratan ini</t>
        </r>
      </text>
    </comment>
  </commentList>
</comments>
</file>

<file path=xl/sharedStrings.xml><?xml version="1.0" encoding="utf-8"?>
<sst xmlns="http://schemas.openxmlformats.org/spreadsheetml/2006/main" count="3316" uniqueCount="1409">
  <si>
    <t>Data Paket</t>
  </si>
  <si>
    <t>Nama Pekerjaan</t>
  </si>
  <si>
    <t>:</t>
  </si>
  <si>
    <t>Belanja Pemeliharaan Bangunan Gedung-Bangunan Gedung Tempat Kerja-Bangunan Gedung Kantor-Pemeliharaan Gedung Bertingkat</t>
  </si>
  <si>
    <t>Jenis Pengadaan</t>
  </si>
  <si>
    <t>Pekerjaan Konstruksi</t>
  </si>
  <si>
    <t>Lingkup</t>
  </si>
  <si>
    <t>Pengecatan tembok eksterior dan panel ACP Gedung Kantor BPKAD</t>
  </si>
  <si>
    <t>Lokasi Pekerjaan</t>
  </si>
  <si>
    <t>Mataram</t>
  </si>
  <si>
    <t>Satuan Kerja/KLPD</t>
  </si>
  <si>
    <t>Badan Pengelolaan Keuangan dan Aset Daerah</t>
  </si>
  <si>
    <t>Pem-da/kab/kot</t>
  </si>
  <si>
    <t>Pemerintah Provinsi Nusa Tenggara Barat</t>
  </si>
  <si>
    <t>Lokasi</t>
  </si>
  <si>
    <t>Provinsi Nusa Tenggara Barat</t>
  </si>
  <si>
    <t>Alamat KLPD</t>
  </si>
  <si>
    <t>Jalan Pejanggik Nomor 14 Telp.( 0370 ) 627689, 625345 Fax: 627677</t>
  </si>
  <si>
    <t>Sumber Dana</t>
  </si>
  <si>
    <t>DPA</t>
  </si>
  <si>
    <t>[isi DPA atau DIPA]</t>
  </si>
  <si>
    <t>Tahun Anggaran</t>
  </si>
  <si>
    <t>2025</t>
  </si>
  <si>
    <t>Pagu</t>
  </si>
  <si>
    <t>HPS</t>
  </si>
  <si>
    <t>Jenis Kontrak</t>
  </si>
  <si>
    <t>Lumsum</t>
  </si>
  <si>
    <t>Bentuk Kontrak</t>
  </si>
  <si>
    <t>Surat Perjanjian Kerja</t>
  </si>
  <si>
    <t>Masa Pelaksanaan</t>
  </si>
  <si>
    <t>Tempat Serah Terima</t>
  </si>
  <si>
    <t>Peraturan</t>
  </si>
  <si>
    <t>Peraturan Presiden Republik Indonesia Nomor 46 Tahun 2025 beserta perubahan dan petunjuk teknisnya.</t>
  </si>
  <si>
    <t>Pelaku Pengadaan</t>
  </si>
  <si>
    <t>PA/KPA</t>
  </si>
  <si>
    <t>III/c</t>
  </si>
  <si>
    <t>Penata</t>
  </si>
  <si>
    <t>Nama</t>
  </si>
  <si>
    <t>Dr. H. Nursalim., S.Sos., M.M</t>
  </si>
  <si>
    <t>III/d</t>
  </si>
  <si>
    <t>Penata Tingkat I</t>
  </si>
  <si>
    <t>NIP</t>
  </si>
  <si>
    <t>19721231 199402 1 009</t>
  </si>
  <si>
    <t>IV/a</t>
  </si>
  <si>
    <t>Pembina</t>
  </si>
  <si>
    <t>Pangkat/Golongan</t>
  </si>
  <si>
    <t>IV/c</t>
  </si>
  <si>
    <t>IV/b</t>
  </si>
  <si>
    <t>Pembina Tingkat I</t>
  </si>
  <si>
    <t>Pembina Utama Muda</t>
  </si>
  <si>
    <t>Jabatan</t>
  </si>
  <si>
    <t>Kepala</t>
  </si>
  <si>
    <t>IV/d</t>
  </si>
  <si>
    <t>Pembina Utama Madya</t>
  </si>
  <si>
    <t>selaku</t>
  </si>
  <si>
    <t>Pengguna Anggaran</t>
  </si>
  <si>
    <t>di</t>
  </si>
  <si>
    <t>PPK</t>
  </si>
  <si>
    <t>Ika Kurnia Mustika, ST, MT</t>
  </si>
  <si>
    <t>19791117 200901 1 006</t>
  </si>
  <si>
    <t>no SK PPK</t>
  </si>
  <si>
    <t>910/17/BPKAD/2025</t>
  </si>
  <si>
    <t>tgl SK PPK</t>
  </si>
  <si>
    <t>18 Juni 2025</t>
  </si>
  <si>
    <t>tentang</t>
  </si>
  <si>
    <t>Penunjukan Pejabat Pembuat Komitmen (PPK) Pada Badan Pengelolaan Keuangan Dan Aset Daerah</t>
  </si>
  <si>
    <t>APIP</t>
  </si>
  <si>
    <t>Inspektur Provinsi NTB</t>
  </si>
  <si>
    <t>PjPHP/Ketua PPHP</t>
  </si>
  <si>
    <t>Nyiur Melambai</t>
  </si>
  <si>
    <t>19920202 200202 2 002</t>
  </si>
  <si>
    <t>Sekretaris</t>
  </si>
  <si>
    <t>Rayuan Kelapa</t>
  </si>
  <si>
    <t>19930303 200303 1 003</t>
  </si>
  <si>
    <t>Anggota</t>
  </si>
  <si>
    <t>Gugur Bunga</t>
  </si>
  <si>
    <t>19940404 200404 2 004</t>
  </si>
  <si>
    <t>PP/Pokmil</t>
  </si>
  <si>
    <t>Pejabat Pengadaan</t>
  </si>
  <si>
    <t>[bisa diketik sendiri]</t>
  </si>
  <si>
    <t>pada Dinas/UKPBJ</t>
  </si>
  <si>
    <t>alamat Dinas/UKPBJ</t>
  </si>
  <si>
    <t>Nomor/Tanggal SK</t>
  </si>
  <si>
    <t>xxxxxx tanggal 27 Juni 2025</t>
  </si>
  <si>
    <t>Tempat</t>
  </si>
  <si>
    <t>telp</t>
  </si>
  <si>
    <t>(0370) 622373</t>
  </si>
  <si>
    <t>email</t>
  </si>
  <si>
    <t>bpkad@ntbprov.go.id</t>
  </si>
  <si>
    <t>PP/Ketua Pokmil</t>
  </si>
  <si>
    <t>Surmayanti Isnaini, S.IP</t>
  </si>
  <si>
    <t>199201122 01406 2 001</t>
  </si>
  <si>
    <t>Anggota 1</t>
  </si>
  <si>
    <t>Anggota 2</t>
  </si>
  <si>
    <t>Anggota 3</t>
  </si>
  <si>
    <t>Anggota 4</t>
  </si>
  <si>
    <t>Data Pemilihan</t>
  </si>
  <si>
    <t>Kalau ada di SPSE gak perlu print lagi dari excel ini</t>
  </si>
  <si>
    <t>Manual/SPSE</t>
  </si>
  <si>
    <t>melalui e-Pengadaan Langsung transaksional</t>
  </si>
  <si>
    <t>[wajib transaksional sesuai Perpres 46/2025]</t>
  </si>
  <si>
    <t>Metode Pengadaan</t>
  </si>
  <si>
    <t>Pengadaan Langsung</t>
  </si>
  <si>
    <t>Metode Kualifikasi</t>
  </si>
  <si>
    <t>Pascakualifikasi</t>
  </si>
  <si>
    <t>Metode Penyampaian</t>
  </si>
  <si>
    <t>Satu File</t>
  </si>
  <si>
    <t>Metode Evaluasi</t>
  </si>
  <si>
    <t>Biaya Terendah</t>
  </si>
  <si>
    <t>Masa Penawaran</t>
  </si>
  <si>
    <t>Proses</t>
  </si>
  <si>
    <t>Nomor Srt/BA</t>
  </si>
  <si>
    <t>Hari</t>
  </si>
  <si>
    <t>Hari1</t>
  </si>
  <si>
    <t>s.d hari2 / Jam</t>
  </si>
  <si>
    <t>PA</t>
  </si>
  <si>
    <t>Surat PA/KPA ke PPK</t>
  </si>
  <si>
    <t>900/           /BPKAD/2024</t>
  </si>
  <si>
    <t>Penetapan DPP</t>
  </si>
  <si>
    <t>027/SRT/A/VII/20/2023</t>
  </si>
  <si>
    <t>027.1/01.PPK/BPKAD/2025</t>
  </si>
  <si>
    <t>BA Reviu</t>
  </si>
  <si>
    <t>03.1/PP/Pkt.I/2023</t>
  </si>
  <si>
    <t>Persiapan Pemilihan</t>
  </si>
  <si>
    <t>03.2/PP/Pkt.I/2023</t>
  </si>
  <si>
    <t>Undangan</t>
  </si>
  <si>
    <t>3/PP/Pkt.I/2023</t>
  </si>
  <si>
    <t>Penjelasan (Penunjukan)</t>
  </si>
  <si>
    <t>02/1/XII/Pj. P BPKAD/2025</t>
  </si>
  <si>
    <t>Pemasukan Penawaran</t>
  </si>
  <si>
    <t>*) Surat Penawaran</t>
  </si>
  <si>
    <t>02/DMG/VI/2025</t>
  </si>
  <si>
    <t>Pembukaan</t>
  </si>
  <si>
    <t>03/1/XII/Pj.P BPKAD/2025</t>
  </si>
  <si>
    <t>10.00 WITA</t>
  </si>
  <si>
    <t>Evaluasi</t>
  </si>
  <si>
    <t>04/1/XII/Pj.P BPKAD/2025</t>
  </si>
  <si>
    <t>Klarifikasi/Negosiasi</t>
  </si>
  <si>
    <t>BA</t>
  </si>
  <si>
    <t>05/1/XII/Pj.P BPKAD/2025</t>
  </si>
  <si>
    <t>BAHPL</t>
  </si>
  <si>
    <t>06/1/XII/Pj.P BPKAD/2025</t>
  </si>
  <si>
    <t>Penetapan</t>
  </si>
  <si>
    <t>07/1/XII/Pj.P BPKAD/2025</t>
  </si>
  <si>
    <t>Pengumuman</t>
  </si>
  <si>
    <t>08/1/XII/Pj.P BPKAD/2025</t>
  </si>
  <si>
    <t>Laporan</t>
  </si>
  <si>
    <t>09/1/XII/Pj.P BPKAD/2025</t>
  </si>
  <si>
    <t>SPPBJ</t>
  </si>
  <si>
    <t>027.1/02.PPK/BPKAD/2025</t>
  </si>
  <si>
    <t>Kontrak,SPK.B/SP</t>
  </si>
  <si>
    <t>027.1/1/SPK/BPKAD/2025</t>
  </si>
  <si>
    <t>Barang.SPP</t>
  </si>
  <si>
    <t>027.3/17 /SPP/BPKAD/2024</t>
  </si>
  <si>
    <t>Tgl Penyelesaian</t>
  </si>
  <si>
    <t>Tgl Serah Terima</t>
  </si>
  <si>
    <t>lampiran SPP</t>
  </si>
  <si>
    <t>kalau daftar itemnya panjang</t>
  </si>
  <si>
    <t>PK.BA.Serah Lokasi</t>
  </si>
  <si>
    <t>027/BASL/A/VIII/44/2023</t>
  </si>
  <si>
    <r>
      <rPr>
        <b/>
        <u/>
        <sz val="11"/>
        <color rgb="FFFFC000"/>
        <rFont val="Calibri"/>
        <family val="2"/>
        <scheme val="minor"/>
      </rPr>
      <t>PK</t>
    </r>
    <r>
      <rPr>
        <u/>
        <sz val="11"/>
        <color theme="10"/>
        <rFont val="Calibri"/>
        <family val="2"/>
        <scheme val="minor"/>
      </rPr>
      <t>.SPMK</t>
    </r>
  </si>
  <si>
    <t>027/SPMK/A/VIII/45/2023</t>
  </si>
  <si>
    <t>Tgl Mulai Kerja</t>
  </si>
  <si>
    <t>Penyedia</t>
  </si>
  <si>
    <t>Pengajuan Serah Terima</t>
  </si>
  <si>
    <t>nomor penyedia</t>
  </si>
  <si>
    <t>BA.Kemajuan</t>
  </si>
  <si>
    <t>tanpa nomor?</t>
  </si>
  <si>
    <t>BA Hasil Pemeriksaan</t>
  </si>
  <si>
    <t>027/BAHP/A/IX/68/2023</t>
  </si>
  <si>
    <t>BA Serah Terima</t>
  </si>
  <si>
    <t>027.3/17/STHP/BPKAD/2024</t>
  </si>
  <si>
    <t>Penyerahan Hasil</t>
  </si>
  <si>
    <t>027.3/17/BAPH/BPKAD/2024</t>
  </si>
  <si>
    <t>Perintah PjPHP/PPHP</t>
  </si>
  <si>
    <t>013/CDE/A/IX/741c/2023</t>
  </si>
  <si>
    <t>PHP</t>
  </si>
  <si>
    <t>BA PHP</t>
  </si>
  <si>
    <t>027.3/17/BAPHP/BPKAD/2024</t>
  </si>
  <si>
    <t>lampiran simak</t>
  </si>
  <si>
    <t>BAST Pekerjaan</t>
  </si>
  <si>
    <t>013/CDE/A/IX/758/2023</t>
  </si>
  <si>
    <t>BA Pembayaran</t>
  </si>
  <si>
    <t>etc</t>
  </si>
  <si>
    <t>Kuitansi</t>
  </si>
  <si>
    <t>Data Peserta</t>
  </si>
  <si>
    <t>Perusahaan</t>
  </si>
  <si>
    <t>PT. DARUSSALAM MEDIA GROUP</t>
  </si>
  <si>
    <t>NPWP</t>
  </si>
  <si>
    <t>03.990.125.5.8-911.000</t>
  </si>
  <si>
    <t>Alamat</t>
  </si>
  <si>
    <t>JL Meninting 13 No.. 22C BTN Kekalik, Kel. Pagesangan Barat, Kota Mataram, Provinsi Nusa Tenggara Barat</t>
  </si>
  <si>
    <t>Telp</t>
  </si>
  <si>
    <t>082127882114</t>
  </si>
  <si>
    <t>darussalam@ptdarussalam.id</t>
  </si>
  <si>
    <t>Pimpinan</t>
  </si>
  <si>
    <t>Direktur</t>
  </si>
  <si>
    <t>Nama Pimpinan</t>
  </si>
  <si>
    <t>Saripudin</t>
  </si>
  <si>
    <t>Nomor Induk Kependudukan</t>
  </si>
  <si>
    <t>5201082711800001</t>
  </si>
  <si>
    <t>Akta Notaris nomor</t>
  </si>
  <si>
    <t>AHU.00309.AH.02.01.TAHUN 2021</t>
  </si>
  <si>
    <t>Akta Notaris tanggal</t>
  </si>
  <si>
    <t>05 November 2021</t>
  </si>
  <si>
    <t>Nama Notaris</t>
  </si>
  <si>
    <t>Finka Saradilla, S.H., M.Kn</t>
  </si>
  <si>
    <t>Harga Penawaran (+PPN)</t>
  </si>
  <si>
    <t>Harga Negosiasi (+PPN)</t>
  </si>
  <si>
    <t>Data SPK/Surat Perjanjian</t>
  </si>
  <si>
    <t>Mata Anggaran Kegiatan (MAK)</t>
  </si>
  <si>
    <t>5.1.02.02.09.0014</t>
  </si>
  <si>
    <t>[isian MAK, bukan nama paket]</t>
  </si>
  <si>
    <t>Masa Pemeliharaan/Garansi</t>
  </si>
  <si>
    <t>[kalau ada]</t>
  </si>
  <si>
    <t>Lingkup Pekerjaan</t>
  </si>
  <si>
    <t>[dapat diisi dengan kegiatan yang diambil dari RKA-KL/RKA-D, isian diambil dari output atau sub-output]</t>
  </si>
  <si>
    <t>NIlai Kontrak</t>
  </si>
  <si>
    <t>Pembayaran</t>
  </si>
  <si>
    <t>Sekaligus</t>
  </si>
  <si>
    <t>Uang Muka</t>
  </si>
  <si>
    <t>Diberikan</t>
  </si>
  <si>
    <t>[jasa konsultansi maks: 20%]</t>
  </si>
  <si>
    <t>Data Serah Terima Pekerjaan Konstruksi</t>
  </si>
  <si>
    <t>lokasi</t>
  </si>
  <si>
    <t>Ranjok Tebing</t>
  </si>
  <si>
    <t>Konsultan</t>
  </si>
  <si>
    <t>Nama Perusahaan</t>
  </si>
  <si>
    <t>Quod Erat Demonstrandum, FA</t>
  </si>
  <si>
    <t>Conan Edogawa</t>
  </si>
  <si>
    <t>Nippon Meitantei Quadran Z Prefecture Y</t>
  </si>
  <si>
    <t>PTP</t>
  </si>
  <si>
    <t xml:space="preserve">Nama </t>
  </si>
  <si>
    <t>M. Syamsul Hadi, S.E</t>
  </si>
  <si>
    <t>19810210 200501 1 010</t>
  </si>
  <si>
    <t>Pejabat Pelaksana Teknis Kegiatan</t>
  </si>
  <si>
    <t>Data Pembayaran</t>
  </si>
  <si>
    <t>Nomor</t>
  </si>
  <si>
    <t>DPA/A.1/5.02.0.00.0.00.02.0000/001/2025</t>
  </si>
  <si>
    <t>Tanggal</t>
  </si>
  <si>
    <t>02 Januari 2025</t>
  </si>
  <si>
    <t>Rek Penyedia</t>
  </si>
  <si>
    <t>No Rek</t>
  </si>
  <si>
    <t>001-02-0039638-3</t>
  </si>
  <si>
    <t>Nama Bank</t>
  </si>
  <si>
    <t>Atas Nama</t>
  </si>
  <si>
    <t>Bendahara</t>
  </si>
  <si>
    <t>No. Rek Paket</t>
  </si>
  <si>
    <t>5.2.04.03.10.0001</t>
  </si>
  <si>
    <t>Nama Bendahara</t>
  </si>
  <si>
    <t>Warni Juita, SE</t>
  </si>
  <si>
    <t>19821231 200801 2 021</t>
  </si>
  <si>
    <t>SURAT TUGAS</t>
  </si>
  <si>
    <t>balik ke input</t>
  </si>
  <si>
    <t>Dengan ini memberikan tugas kepada:</t>
  </si>
  <si>
    <t>Untuk melaksanakan</t>
  </si>
  <si>
    <t>Melakukan tindakan yang dapat mengakibatkan pengeluaran anggaran belanja dan mengadakan perjanjian dengan pihak lain dalam batas anggaran belanja yang telah ditetapkan untuk paket pekerjaan sebagai berikut:</t>
  </si>
  <si>
    <t>tugas</t>
  </si>
  <si>
    <t>No</t>
  </si>
  <si>
    <t>Nama Paket</t>
  </si>
  <si>
    <t>Pagu Anggaran (Rp.)</t>
  </si>
  <si>
    <t>Belanja Modal Instalasi Jaringan Internet</t>
  </si>
  <si>
    <t>200.000.000</t>
  </si>
  <si>
    <t>Selama</t>
  </si>
  <si>
    <t>Demikian untuk dilaksanakan sebagaimana mestinya.</t>
  </si>
  <si>
    <t>Tembusan disampaikan kepada Yth:</t>
  </si>
  <si>
    <t>2. Pertinggal.</t>
  </si>
  <si>
    <t>Lampiran</t>
  </si>
  <si>
    <t>1 (satu) gabung</t>
  </si>
  <si>
    <t>Perihal</t>
  </si>
  <si>
    <t>A</t>
  </si>
  <si>
    <t>Kelengkapan Dokumen Persiapan Pengadaan</t>
  </si>
  <si>
    <t xml:space="preserve">Uraian </t>
  </si>
  <si>
    <t>Catatan / Penjelasan</t>
  </si>
  <si>
    <t>Pagu Anggaran</t>
  </si>
  <si>
    <t>cek</t>
  </si>
  <si>
    <t>Spesifikasi Teknis/KAK/Gambar/DED</t>
  </si>
  <si>
    <t>Rancangan Kontrak</t>
  </si>
  <si>
    <t>Tidak Diberikan</t>
  </si>
  <si>
    <t>Jaminan Uang Muka</t>
  </si>
  <si>
    <t>-</t>
  </si>
  <si>
    <t>Jaminan Pelaksanaan</t>
  </si>
  <si>
    <t>Tidak diperlukan</t>
  </si>
  <si>
    <t>Jaminan Pemeliharaan/Sertifikat Garansi</t>
  </si>
  <si>
    <t>Penyesuaian Harga</t>
  </si>
  <si>
    <t>B</t>
  </si>
  <si>
    <t>Identifikasi Metode Pemilihan Penyedia</t>
  </si>
  <si>
    <t>Berdasarkan jenis, nilai, dan sifat pengadaan serta ketersediaan penyedia, maka ditentukan metode pemilihan:</t>
  </si>
  <si>
    <t>C</t>
  </si>
  <si>
    <t>Reviu Kewajiban UMK dan PDN</t>
  </si>
  <si>
    <t>Perencanaan pengadaan Kementerian/Lembaga/Pemerintah Daerah telah memperhatikan kewajiban untuk menggunakan produk usaha kecil serta koperasi dari hasil produk dalam negeri paling sedikit 40% (empat puluh persen) dari nilai anggaran belanja barang/jasa.</t>
  </si>
  <si>
    <t>hide/hapus kalau tidak yakin,</t>
  </si>
  <si>
    <t>tanggung jawab PPK sebatas reviu</t>
  </si>
  <si>
    <t>Demikian ditetapkan untuk dipergunakan sebagaimana mestinya.</t>
  </si>
  <si>
    <t>OPD</t>
  </si>
  <si>
    <t>Pekerjaan</t>
  </si>
  <si>
    <t>Tahun</t>
  </si>
  <si>
    <t>Anggaran</t>
  </si>
  <si>
    <t>Deskripsi Item/Pekerjaan</t>
  </si>
  <si>
    <t>Uraian</t>
  </si>
  <si>
    <t>Router</t>
  </si>
  <si>
    <t xml:space="preserve">- RAM : 4GB.; Storage : 1GB; Port : 8 port; IPSec : Yes, Sfp : 2 port
</t>
  </si>
  <si>
    <t>Surver berdasarkan Mikrotik CCR 1036</t>
  </si>
  <si>
    <t>Optical Line Terminal</t>
  </si>
  <si>
    <t>-1+1 Power redundancy.
- 4 Fixed EPON Port.</t>
  </si>
  <si>
    <t>OLT HSGQ</t>
  </si>
  <si>
    <t>Optical Termination Box</t>
  </si>
  <si>
    <t>- ODF/OTB Rackmount 19inch 48 Core (lengkap dgn Adapter FC/SC/LC dan pigtail 48bh</t>
  </si>
  <si>
    <t>OTB/ODF Rackmoun 48core PAZ</t>
  </si>
  <si>
    <t>Optical Distribution Point</t>
  </si>
  <si>
    <t xml:space="preserve">- ODP 8 Core Solid Merk Fiber Tekno
- Lengkap Splitter Box 1:8 SC UPC
- Komplit Klemring 2pcs dan Aksesoris
</t>
  </si>
  <si>
    <t>ODP BOX Indor 1:8</t>
  </si>
  <si>
    <t>Kabel backbone KU Mini 12 core pig 8 2000M</t>
  </si>
  <si>
    <t>- 12 Core, 2000M, pig 8</t>
  </si>
  <si>
    <t>Kabel KU Mini 12 core pig 8 2000M</t>
  </si>
  <si>
    <t xml:space="preserve">Kabel Fiber 4 core pig 8 2000M </t>
  </si>
  <si>
    <t>- 4 Core, 2000M, pig 8</t>
  </si>
  <si>
    <t>Kabel Fiber 4 core pig 8 2000M</t>
  </si>
  <si>
    <t>Kabel UTP CAT 6</t>
  </si>
  <si>
    <t>- Cat 6
- 24 AWG solid bare annealed copper conductors, non-plenum, Thermoplastic Polyolefin insulation,</t>
  </si>
  <si>
    <t>Kabel UTP CAT 6 Belden</t>
  </si>
  <si>
    <t xml:space="preserve">Akses Poin Outdor NS </t>
  </si>
  <si>
    <t>-Airmax : Yes, Band : 2,4Ghz</t>
  </si>
  <si>
    <t>Switch Hub 24 port</t>
  </si>
  <si>
    <t>-Support SFP
- 10/100/1000Mbps
- Managed Layer 2 Web Smart Switch</t>
  </si>
  <si>
    <t>Modem Optical Network Unit</t>
  </si>
  <si>
    <t>- Jaringan FTTH FTTB FTTX
- GPON : 1x SC/UPC, 2.448 Gbit/s hilir 1,244 Gbit/s upstream
- 4ETH + 1TEL + USB + WIFI2.4G</t>
  </si>
  <si>
    <t>ZTE F609</t>
  </si>
  <si>
    <t>UPS 2KVA</t>
  </si>
  <si>
    <t>- 1800 Watt + Stabilizer
- Batteries : 6x12V 7AH</t>
  </si>
  <si>
    <t>UPS Gpower</t>
  </si>
  <si>
    <t>DOKUMENTASI HARGA</t>
  </si>
  <si>
    <t>Sat</t>
  </si>
  <si>
    <t>Vol</t>
  </si>
  <si>
    <t>Harga Satuan (Rp)</t>
  </si>
  <si>
    <t>Total
(Rp)</t>
  </si>
  <si>
    <t>Kontrak AP</t>
  </si>
  <si>
    <t>MAPPI</t>
  </si>
  <si>
    <t>Inkindo</t>
  </si>
  <si>
    <t>SSH NTB</t>
  </si>
  <si>
    <t>I</t>
  </si>
  <si>
    <t>BIAYA LANGSUNG PERSONIL</t>
  </si>
  <si>
    <t>Tenaga Ahli</t>
  </si>
  <si>
    <t>Team Leader/Penilai Berizin</t>
  </si>
  <si>
    <t>OH</t>
  </si>
  <si>
    <t>Penilai Madya</t>
  </si>
  <si>
    <t>Penilai Pertama</t>
  </si>
  <si>
    <t>Tenaga Pendukung</t>
  </si>
  <si>
    <t>Surveyor</t>
  </si>
  <si>
    <t>Tenaga Administrasi</t>
  </si>
  <si>
    <t>Operator Konputer</t>
  </si>
  <si>
    <t>Drafter</t>
  </si>
  <si>
    <t>II</t>
  </si>
  <si>
    <t>BIAYA LANGSUNG NON PERSONIL</t>
  </si>
  <si>
    <t>Biaya Akomodasi</t>
  </si>
  <si>
    <t>Biaya Tiket Pesawat</t>
  </si>
  <si>
    <t>Ls</t>
  </si>
  <si>
    <t>Biaya Penginapan</t>
  </si>
  <si>
    <t>Sewa Kendaraan Roda 4</t>
  </si>
  <si>
    <t>Unit.Hari</t>
  </si>
  <si>
    <t>Biaya Komunikasi</t>
  </si>
  <si>
    <t>Biaya Kantor</t>
  </si>
  <si>
    <t>Biaya Presentasi/Rapat/Paparan</t>
  </si>
  <si>
    <t>kali</t>
  </si>
  <si>
    <t>Biaya Sewa Printer</t>
  </si>
  <si>
    <t>unit</t>
  </si>
  <si>
    <t>Biaya ATK dan Barang Pakai Habis</t>
  </si>
  <si>
    <t>Biaya Pelaporan</t>
  </si>
  <si>
    <t>Laporan Pendahuluan</t>
  </si>
  <si>
    <t>Buku</t>
  </si>
  <si>
    <t>Laporan Antara</t>
  </si>
  <si>
    <t>Laporan Akhir</t>
  </si>
  <si>
    <t xml:space="preserve">Dokumentasi </t>
  </si>
  <si>
    <t>Paket</t>
  </si>
  <si>
    <t>Hardisk Eksternal</t>
  </si>
  <si>
    <t>Buah</t>
  </si>
  <si>
    <t>Total</t>
  </si>
  <si>
    <t>Terbilang</t>
  </si>
  <si>
    <t>Harga tersebut di atas sudah termasuk pajak-pajak dan biaya pungutan resmi lainnya.</t>
  </si>
  <si>
    <t>HARGA PERKIRAAN SENDIRI</t>
  </si>
  <si>
    <t>Satuan</t>
  </si>
  <si>
    <t>Kuantitas</t>
  </si>
  <si>
    <t>Harga Satuan
(Rp)</t>
  </si>
  <si>
    <t>PEKERJAAN PERSIAPAN</t>
  </si>
  <si>
    <t>Pengukuran</t>
  </si>
  <si>
    <t>keg</t>
  </si>
  <si>
    <t>Pembersihan Lokasi</t>
  </si>
  <si>
    <t>SMK3 KONSTRUKSI</t>
  </si>
  <si>
    <t>Alat Pelindung Kerja dan Alat Pelindung Diri</t>
  </si>
  <si>
    <t>set</t>
  </si>
  <si>
    <t>III</t>
  </si>
  <si>
    <t>PEKERJAAN PENGECATAN</t>
  </si>
  <si>
    <t>Sewa stager</t>
  </si>
  <si>
    <t xml:space="preserve">Pengerokan cat yang terkelupas </t>
  </si>
  <si>
    <t>m2</t>
  </si>
  <si>
    <t>Pengecatan ulang dinding luar</t>
  </si>
  <si>
    <t>Pengecatan ACP dengan cat besi</t>
  </si>
  <si>
    <t>PPN 12% x 11 / 12 =</t>
  </si>
  <si>
    <t>Total + PPN</t>
  </si>
  <si>
    <t>Data Hasil PL/Penyedia:</t>
  </si>
  <si>
    <t>Kosong</t>
  </si>
  <si>
    <r>
      <rPr>
        <i/>
        <sz val="11"/>
        <color rgb="FFFFFF00"/>
        <rFont val="Calibri"/>
        <family val="2"/>
        <scheme val="minor"/>
      </rPr>
      <t xml:space="preserve">Pilih </t>
    </r>
    <r>
      <rPr>
        <b/>
        <i/>
        <sz val="11"/>
        <color rgb="FFFFFF00"/>
        <rFont val="Calibri"/>
        <family val="2"/>
        <scheme val="minor"/>
      </rPr>
      <t>Isi</t>
    </r>
    <r>
      <rPr>
        <i/>
        <sz val="11"/>
        <color rgb="FFFFFF00"/>
        <rFont val="Calibri"/>
        <family val="2"/>
        <scheme val="minor"/>
      </rPr>
      <t xml:space="preserve"> supaya data kontraknya terisi</t>
    </r>
  </si>
  <si>
    <t>SPK Pengadaan Barang</t>
  </si>
  <si>
    <t>SURAT PERINTAH KERJA (SPK)</t>
  </si>
  <si>
    <t>SATUAN KERJA</t>
  </si>
  <si>
    <t>NOMOR DAN TANGGAL SPK :</t>
  </si>
  <si>
    <t xml:space="preserve">NOMOR </t>
  </si>
  <si>
    <t>TANGGAL</t>
  </si>
  <si>
    <t>NAMA PPK</t>
  </si>
  <si>
    <t>NAMA PENYEDIA</t>
  </si>
  <si>
    <t>PAKET PENGADAAN:</t>
  </si>
  <si>
    <t>SUMBER DANA:</t>
  </si>
  <si>
    <t>NILAI KONTRAK</t>
  </si>
  <si>
    <t>........................ (....................................</t>
  </si>
  <si>
    <t>WAKTU PELAKSANAAN PEKERJAAN:</t>
  </si>
  <si>
    <t>Untuk dan atas nama</t>
  </si>
  <si>
    <r>
      <rPr>
        <sz val="11"/>
        <color theme="1"/>
        <rFont val="Calibri"/>
        <family val="2"/>
        <scheme val="minor"/>
      </rPr>
      <t xml:space="preserve">Untuk dan atas nama </t>
    </r>
    <r>
      <rPr>
        <b/>
        <sz val="11"/>
        <color theme="1"/>
        <rFont val="Calibri"/>
        <family val="2"/>
        <scheme val="minor"/>
      </rPr>
      <t>Penyedia</t>
    </r>
  </si>
  <si>
    <t>Pengguna Jasa</t>
  </si>
  <si>
    <t>SYARAT UMUM</t>
  </si>
  <si>
    <t>1.</t>
  </si>
  <si>
    <t>LINGKUP PEKERJAAN</t>
  </si>
  <si>
    <t>Penyedia yang ditunjuk berkewajiban untuk menyelesaikan pekerjaan dalam jangka waktu yang ditentukan sesuai dengan keluaran, gambar, spesifikasi teknis dan harga yang tercantum dalam SPK.</t>
  </si>
  <si>
    <t>2.</t>
  </si>
  <si>
    <t>HUKUM YANG BERLAKU</t>
  </si>
  <si>
    <t>Keabsahan, interpretasi, dan pelaksanaan SPK ini didasarkan kepada hukum Republik Indonesia.</t>
  </si>
  <si>
    <t>3.</t>
  </si>
  <si>
    <t>HARGA SPK</t>
  </si>
  <si>
    <t>a.</t>
  </si>
  <si>
    <t>hsls</t>
  </si>
  <si>
    <t>b.</t>
  </si>
  <si>
    <t>PPK membayar kepada penyedia sebesar harga SPK.</t>
  </si>
  <si>
    <t>c.</t>
  </si>
  <si>
    <t>Harga SPK telah memperhitungkan keuntungan, beban pajak dan biaya overhead serta biaya asuransi (apabila dipersyaratkan).</t>
  </si>
  <si>
    <t>d.</t>
  </si>
  <si>
    <t>Rincian harga SPK sesuai dengan rincian yang tercantum dalam daftar kuantitas dan harga.</t>
  </si>
  <si>
    <t>4.</t>
  </si>
  <si>
    <t>HAK KEPEMILIKAN</t>
  </si>
  <si>
    <t>a. PPK berhak atas kepemilikan semua Konstruksi/bahan yang terkait langsung atau disediakan sehubungan dengan jasa yang diberikan oleh penyedia kepada PPK. Jika diminta oleh PPK maka penyedia berkewajiban untuk membantu secara optimal pengalihan hak kepemilikan tersebut kepada PPK sesuai dengan hukum yang berlaku</t>
  </si>
  <si>
    <t>PPK berhak atas kepemilikan semua barang/bahan yang terkait langsung atau disediakan sehubungan dengan jasa yang diberikan oleh penyedia kepada PPK. Jika diminta oleh PPK maka penyedia berkewajiban untuk membantu secara optimal pengalihan hak kepemilikan tersebut kepada PPK sesuai dengan hukum yang berlaku.</t>
  </si>
  <si>
    <t>b. Hak kepemilikan atas peralatan dan Konstruksi/bahan yang disediakan oleh PPK tetap pada PPK, dan semua peralatan tersebut harus dikembalikan kepada PPK pada saat SPK berakhir atau jika tidak diperlukan lagi oleh penyedia. Semua peralatan tersebut harus dikembalikan dalam kondisi yang sama pada saat diberikan kepada penyedia dengan pengecualian keausan akibat pemakaian yang wajar.</t>
  </si>
  <si>
    <t>Hak kepemilikan atas peralatan dan barang/bahan yang disediakan oleh PPK tetap pada PPK, dan semua peralatan tersebut harus dikembalikan kepada PPK pada saat SPK berakhir atau jika tidak diperlukan lagi oleh penyedia. Semua peralatan tersebut harus dikembalikan dalam kondisi yang sama pada saat diberikan kepada penyedia dengan pengecualian keausan akibat pemakaian yang wajar.</t>
  </si>
  <si>
    <t>5.</t>
  </si>
  <si>
    <t>CACAT MUTU</t>
  </si>
  <si>
    <t>PPK akan memeriksa setiap hasil pekerjaan penyedia dan memberitahukan secara tertulis penyedia atas setiap cacat mutu yang ditemukan. PPK dapat memerintahkan penyedia untuk menguji pekerjaan yang dianggap oleh PPK mengandung cacat mutu. Penyedia bertanggung jawab atas cacat mutu selama masa garansi.</t>
  </si>
  <si>
    <t>6.</t>
  </si>
  <si>
    <t>PERPAJAKAN</t>
  </si>
  <si>
    <t>Penyedia berkewajiban untuk membayar semua pajak, bea, retribusi, dan pungutan lain yang sah yang dibebankan oleh hukum yang berlaku atas pelaksanaan SPK. Semua pengeluaran perpajakan ini dianggap telah termasuk dalam harga SPK.</t>
  </si>
  <si>
    <t>7.</t>
  </si>
  <si>
    <t>PENGALIHAN DAN/ATAU SUBKONTRAK</t>
  </si>
  <si>
    <t>Penyedia dilarang untuk mengalihkan dan/atau mensubkontrakkan sebagian atau seluruh pekerjaan. Pengalihan seluruh pekerjaan hanya diperbolehkan dalam hal pergantian nama penyedia, baik sebagai akibat peleburan (merger) atau akibat lainnya.</t>
  </si>
  <si>
    <t>8.</t>
  </si>
  <si>
    <t>JADWAL</t>
  </si>
  <si>
    <t>SPK ini berlaku efektif pada tanggal penandatanganan oleh para pihak atau pada tanggal yang ditetapkan dalam Surat Perintah Pengiriman.</t>
  </si>
  <si>
    <t>Waktu pelaksanaan SPK adalah sejak tanggal mulai kerja yang tercantum dalam Surat Perintah Pengiriman.</t>
  </si>
  <si>
    <t>Penyedia harus menyelesaikan pekerjaan sesuai jadwal yang ditentukan.</t>
  </si>
  <si>
    <t>Apabila penyedia tidak dapat menyelesaikan pekerjaan sesuai jadwal karena keadaan diluar pengendaliannya dan penyedia telah melaporkan kejadian tersebut kepada PPK, maka PPK dapat melakukan penjadwalan kembali pelaksanaan tugas penyedia dengan adendum SPK.</t>
  </si>
  <si>
    <t>9.</t>
  </si>
  <si>
    <t>ASURANSI</t>
  </si>
  <si>
    <t>Apabila dipersyaratkan, penyedia wajib menyediakan asuransi sejak Surat Perintah Pengiriman sampai dengan tanggal selesainya pemeliharaan untuk:</t>
  </si>
  <si>
    <t>1)</t>
  </si>
  <si>
    <t>semua barang dan peralatan yang mempunyai risiko tinggi terjadinya kecelakaan, pelaksanaan pekerjaan, serta pekerja untuk pelaksanaan pekerjaan, atas segala risiko terhadap kecelakaan, kerusakan, kehilangan, serta risiko lain yang tidak dapat diduga;</t>
  </si>
  <si>
    <t>2)</t>
  </si>
  <si>
    <t>pihak ketiga sebagai akibat kecelakaan di tempat kerjanya; dan</t>
  </si>
  <si>
    <t>Besarnya asuransi sudah diperhitungkan dalam penawaran dan termasuk dalam harga SPK.</t>
  </si>
  <si>
    <t>10.</t>
  </si>
  <si>
    <t>PENANGGUNGAN DAN RISIKO</t>
  </si>
  <si>
    <t>Penyedia berkewajiban untuk melindungi, membebaskan, dan menanggung tanpa batas PPK beserta instansinya terhadap semua bentuk tuntutan, tanggung jawab, kewajiban, kehilangan, kerugian, denda, gugatan atau tuntutan hukum, proses pemeriksaan hukum, dan biaya yang dikenakan terhadap PPK beserta instansinya (kecuali kerugian yang mendasari tuntutan tersebut disebabkan kesalahan atau kelalaian berat PPK) sehubungan dengan klaim yang timbul dari hal-hal berikut terhitung sejak tanggal mulai kerja sampai dengan tanggal penandatanganan berita acara penyerahan akhir:</t>
  </si>
  <si>
    <t>kehilangan atau kerusakan peralatan dan harta benda penyedia dan Personel;</t>
  </si>
  <si>
    <t>cidera tubuh, sakit atau kematian Personel; dan/atau</t>
  </si>
  <si>
    <t>3)</t>
  </si>
  <si>
    <t>kehilangan atau kerusakan harta benda, cidera tubuh, sakit atau kematian pihak lain.</t>
  </si>
  <si>
    <t>Terhitung sejak tanggal mulai kerja sampai dengan tanggal penandatanganan berita acara serah terima, semua risiko kehilangan atau kerusakan hasil pekerjaan ini merupakan risiko penyedia, kecuali kerugian atau kerusakan tersebut diakibatkan oleh kesalahan atau kelalaian PPK.</t>
  </si>
  <si>
    <t>Pertanggungan asuransi yang dimiliki oleh penyedia tidak membatasi kewajiban penanggungan dalam syarat ini.</t>
  </si>
  <si>
    <t>Kehilangan atau kerusakan terhadap hasil pekerjaan sejak tanggal mulai kerja sampai batas akhir garansi, harus diperbaiki, diganti atau dilengkapi oleh penyedia atas tanggungannya sendiri jika kehilangan atau kerusakan tersebut terjadi akibat tindakan atau kelalaian penyedia.</t>
  </si>
  <si>
    <t>11.</t>
  </si>
  <si>
    <t>PENGAWASAN DAN PEMERIKSAAN</t>
  </si>
  <si>
    <t>PPK berwenang melakukan pengawasan dan pemeriksaan terhadap pelaksanaan pekerjaan yang dilaksanakan oleh penyedia. PPK dapat memerintahkan kepada pihak lain untuk melakukan pengawasan dan pemeriksaan atas semua pelaksanaan pekerjaan yang dilaksanakan oleh penyedia.</t>
  </si>
  <si>
    <t>12.</t>
  </si>
  <si>
    <t>PENGUJIAN</t>
  </si>
  <si>
    <t>Jika PPK atau Pengawas Pekerjaan memerintahkan penyedia untuk melakukan pengujian Cacat Mutu yang tidak tercantum dalam Spesifikasi Teknis dan Gambar, dan hasil uji coba menunjukkan adanya Cacat Mutu maka penyedia berkewajiban untuk menanggung biaya pengujian tersebut. Jika tidak ditemukan adanya Cacat Mutu maka uji coba tersebut dianggap sebagai Peristiwa Kompensasi.</t>
  </si>
  <si>
    <t>13.</t>
  </si>
  <si>
    <t>LAPORAN HASIL PEKERJAAN</t>
  </si>
  <si>
    <t>Pemeriksaan pekerjaan dilakukan selama pelaksanaan Kontrak terhadap kemajuan pekerjaan dalam rangka pengawasan kualitas dan waktu pelaksanaan pekerjaan. Hasil pemeriksaan pekerjaan dituangkan dalam laporan kemajuan hasil pekerjaan.</t>
  </si>
  <si>
    <t>Untuk merekam pelaksanaan pekerjaan, PPK dapat menugaskan Pengawas Pekerjaan dan/atau tim teknis membuat foto-foto dokumentasi pelaksanaan pekerjaan di lokasi pekerjaan.</t>
  </si>
  <si>
    <t>14.</t>
  </si>
  <si>
    <t>WAKTU PENYELESAIAN PEKERJAAN</t>
  </si>
  <si>
    <t>Kecuali SPK diputuskan lebih awal, penyedia berkewajiban untuk memulai pelaksanaan pekerjaan pada tanggal mulai kerja, dan melaksanakan pekerjaan sesuai dengan program mutu, serta menyelesaikan pekerjaan selambat-lambatnya pada tanggal penyelesaian yang ditetapkan dalam surat perintah pengiriman.</t>
  </si>
  <si>
    <t>Jika pekerjaan tidak selesai pada tanggal penyelesaian disebabkan karena kesalahan atau kelalaian penyedia maka penyedia dikenakan sanksi berupa denda keterlambatan.</t>
  </si>
  <si>
    <t>Jika keterlambatan tersebut disebabkan oleh Peristiwa Kompensasi maka PPK memberikan tambahan perpanjangan waktu penyelesaian pekerjaan.</t>
  </si>
  <si>
    <t>Tanggal penyelesaian yang dimaksud dalam ketentuan ini adalah tanggal penyelesaian semua pekerjaan.</t>
  </si>
  <si>
    <t>15.</t>
  </si>
  <si>
    <t>SERAH TERIMA PEKERJAAN</t>
  </si>
  <si>
    <t>Setelah pekerjaan selesai 100% (seratus persen), penyedia mengajukan permintaan secara tertulis kepada PPK untuk penyerahan pekerjaan.</t>
  </si>
  <si>
    <t>Sebelum dilakukan serah terima, PPK melakukan pemeriksaan terhadap hasil pekerjaan.</t>
  </si>
  <si>
    <t>PPK dalam melakukan pemeriksaan hasil pekerjaan dapat dibantu oleh pengawas pekerjaan dan/atau tim teknis.</t>
  </si>
  <si>
    <t>Apabila terdapat kekurangan-kekurangan dan/atau cacat hasil pekerjaan, penyedia wajib memperbaiki/menyelesaikannya, atas perintah PPK.</t>
  </si>
  <si>
    <t>e.</t>
  </si>
  <si>
    <t>PPK menerima hasil pekerjaan setelah seluruh hasil pekerjaan dilaksanakan sesuai dengan ketentuan SPK.</t>
  </si>
  <si>
    <t>f.</t>
  </si>
  <si>
    <t>Pembayaran dilakukan sebesar 100% (seratus persen) dari harga SPK dan penyedia harus menyerahkan Sertifikat Garansi.</t>
  </si>
  <si>
    <t>16.</t>
  </si>
  <si>
    <t>JAMINAN BEBAS CACAT MUTU/GARANSI</t>
  </si>
  <si>
    <t>Penyedia dengan jaminan pabrikan dari produsen pabrikan (jika ada) berkewajiban untuk menjamin bahwa selama penggunaan secara wajar, Barang tidak mengandung cacat mutu yang disebabkan oleh tindakan atau kelalaian Penyedia, atau cacat mutu akibat desain, bahan, dan cara kerja.</t>
  </si>
  <si>
    <t>Jaminan bebas cacat mutu ini berlaku selama masa garansi berlaku.</t>
  </si>
  <si>
    <t>PPK akan menyampaikan pemberitahuan cacat mutu kepada Penyedia segera setelah ditemukan cacat mutu tersebut selama masa garansi berlaku.</t>
  </si>
  <si>
    <t>Terhadap pemberitahuan cacat mutu oleh PPK, Penyedia berkewajiban untuk memperbaiki, mengganti, dan/atau melengkapi Barang dalam jangka waktu sesuai dengan syarat dan ketentuan dalam Sertifikat Garansi.</t>
  </si>
  <si>
    <t>Jika Penyedia tidak memperbaiki, mengganti, atau melengkapi Barang akibat cacat mutu dalam jangka waktu sesuai dengan syarat dan ketentuan dalam Sertifikat Garansi, PPK akan menghitung biaya perbaikan yang diperlukan, dan PPK secara langsung atau melalui pihak ketiga yang ditunjuk oleh PPK akan melakukan perbaikan tersebut. Penyedia berkewajiban untuk membayar biaya perbaikan atau penggantian tersebut sesuai dengan klaim yang diajukan secara tertulis oleh PPK.</t>
  </si>
  <si>
    <t>Selain kewajiban penggantian biaya, Penyedia yang lalai memperbaiki cacat mutu dikenakan Sanksi Daftar Hitam.</t>
  </si>
  <si>
    <t>17.</t>
  </si>
  <si>
    <t>PERUBAHAN SPK</t>
  </si>
  <si>
    <t>SPK hanya dapat diubah melalui adendum SPK;</t>
  </si>
  <si>
    <t>Perubahan SPK dapat dilaksanakan dalam hal terdapat perbedaan antara kondisi lapangan pada saat pelaksanaan dengan SPK dan disetujui oleh para pihak, meliputi:</t>
  </si>
  <si>
    <t>menambah atau mengurangi volume yang tercantum dalam SPK;</t>
  </si>
  <si>
    <t>menambah dan/atau mengurangi jenis kegiatan;</t>
  </si>
  <si>
    <t>mengubah spesifikasi teknis sesuai dengan kondisi lapangan; dan/atau</t>
  </si>
  <si>
    <t>4)</t>
  </si>
  <si>
    <t>mengubah jadwal pelaksanaan pekerjaan.</t>
  </si>
  <si>
    <t>Untuk kepentingan perubahan SPK, PPK dapat dibantu Pejabat Peneliti Pelaksanaan Kontrak.</t>
  </si>
  <si>
    <t>18.</t>
  </si>
  <si>
    <t>PERISTIWA KOMPENSASI</t>
  </si>
  <si>
    <t>Peristiwa Kompensasi dapat diberikan kepada penyedia dalam hal sebagai berikut:</t>
  </si>
  <si>
    <t>PPK mengubah jadwal yang dapat mempengaruhi pelaksanaan pekerjaan;</t>
  </si>
  <si>
    <t>keterlambatan pembayaran kepada penyedia;</t>
  </si>
  <si>
    <t>PPK tidak memberikan gambar-gambar, spesifikasi dan/atau instruksi sesuai jadwal yang dibutuhkan;</t>
  </si>
  <si>
    <t>penyedia belum bisa masuk ke lokasi sesuai jadwal;</t>
  </si>
  <si>
    <t>5)</t>
  </si>
  <si>
    <t>PPK menginstruksikan kepada pihak penyedia untuk melakukan pengujian tambahan yang setelah dilaksanakan pengujian ternyata tidak ditemukan kerusakan/kegagalan/penyimpangan;</t>
  </si>
  <si>
    <t>6)</t>
  </si>
  <si>
    <t>PPK memerintahkan penundaan pelaksanaan pekerjaan;</t>
  </si>
  <si>
    <t>7)</t>
  </si>
  <si>
    <t>PPK memerintahkan untuk mengatasi kondisi tertentu yang tidak dapat diduga sebelumnya dan disebabkan oleh PPK;</t>
  </si>
  <si>
    <t>8)</t>
  </si>
  <si>
    <t>ketentuan lain dalam SPK.</t>
  </si>
  <si>
    <t>Jika Peristiwa Kompensasi mengakibatkan pengeluaran tambahan dan/atau keterlambatan penyelesaian pekerjaan maka PPK berkewajiban untuk membayar ganti rugi dan/atau memberikan perpanjangan waktu penyelesaian pekerjaan.</t>
  </si>
  <si>
    <t>Ganti rugi hanya dapat dibayarkan jika berdasarkan data penunjang dan perhitungan kompensasi yang diajukan oleh penyedia kepada PPK, dapat dibuktikan kerugian nyata akibat Peristiwa Kompensasi.</t>
  </si>
  <si>
    <t>Perpanjangan waktu penyelesaian pekerjaan hanya dapat diberikan jika berdasarkan data penunjang dan perhitungan kompensasi yang diajukan oleh penyedia kepada PPK, dapat dibuktikan perlunya tambahan waktu akibat Peristiwa Kompensasi.</t>
  </si>
  <si>
    <t>Penyedia tidak berhak atas ganti rugi dan/atau perpanjangan waktu penyelesaian pekerjaan jika penyedia gagal atau lalai untuk memberikan peringatan dini dalam mengantisipasi atau mengatasi dampak Peristiwa Kompensasi.</t>
  </si>
  <si>
    <t>19.</t>
  </si>
  <si>
    <t>PERPANJANGAN WAKTU</t>
  </si>
  <si>
    <t>Jika terjadi Peristiwa Kompensasi sehingga penyelesaian pekerjaan akan melampaui tanggal penyelesaian maka penyedia berhak untuk meminta perpanjangan tanggal penyelesaian berdasarkan data penunjang. PPK berdasarkan pertimbangan Pengawas Pekerjaan memperpanjang tanggal penyelesaian pekerjaan secara tertulis. Perpanjangan tanggal penyelesaian harus dilakukan melalui adendum SPK.</t>
  </si>
  <si>
    <t>PPK dapat menyetujui perpanjangan waktu pelaksanaan setelah melakukan penelitian terhadap usulan tertulis yang diajukan oleh penyedia.</t>
  </si>
  <si>
    <t>20.</t>
  </si>
  <si>
    <t>PENGHENTIAN DAN PEMUTUSAN SPK</t>
  </si>
  <si>
    <t>Penghentian SPK dapat dilakukan karena terjadi Keadaan Kahar.</t>
  </si>
  <si>
    <t>Dalam hal SPK dihentikan, PPK wajib membayar kepada penyedia sesuai dengan prestasi pekerjaan yang telah dicapai.</t>
  </si>
  <si>
    <t>Pemutusan SPK dapat dilakukan oleh pihak PPK atau pihak penyedia.</t>
  </si>
  <si>
    <t>Menyimpang dari Pasal 1266 dan 1267 Kitab Undang-Undang Hukum Perdata, pemutusan SPK melalui pemberitahuan tertulis dapat dilakukan apabila:</t>
  </si>
  <si>
    <t>penyedia terbukti melakukan KKN, kecurangan dan/atau pemalsuan dalam proses Pengadaan yang diputuskan oleh instansi yang berwenang;</t>
  </si>
  <si>
    <t>pengaduan tentang penyimpangan prosedur, dugaan KKN dan/atau pelanggaran persaingan sehat dalam pelaksanaan pengadaan dinyatakan benar oleh instansi yang berwenang;</t>
  </si>
  <si>
    <t>penyedia lalai/cidera janji dalam melaksanakan kewajibannya dan tidak memperbaiki kelalaiannya dalam jangka waktu yang telah ditetapkan;</t>
  </si>
  <si>
    <t>penyedia tanpa persetujuan PPK, tidak memulai pelaksanaan pekerjaan;</t>
  </si>
  <si>
    <t>penyedia menghentikan pekerjaan dan penghentian ini tidak tercantum dalam program mutu serta tanpa persetujuan PPK;</t>
  </si>
  <si>
    <t>penyedia berada dalam keadaan pailit;</t>
  </si>
  <si>
    <t>Penyedia gagal memperbaiki kinerja setelah mendapat Surat Peringatan sebanyak 3 (tiga) kali;</t>
  </si>
  <si>
    <t>penyedia selama Masa SPK gagal memperbaiki Cacat Mutu dalam jangka waktu yang ditetapkan oleh PPK;</t>
  </si>
  <si>
    <t>9)</t>
  </si>
  <si>
    <t>PPK memerintahkan penyedia untuk menunda pelaksanaan atau kelanjutan pekerjaan, dan perintah tersebut tidak ditarik selama 28 (dua puluh delapan) hari; dan/atau</t>
  </si>
  <si>
    <t>10)</t>
  </si>
  <si>
    <t>PPK tidak menerbitkan surat perintah pembayaran untuk pembayaran tagihan angsuran sesuai dengan yang disepakati sebagaimana tercantum dalam SPK.</t>
  </si>
  <si>
    <t>Dalam hal pemutusan SPK dilakukan karena kesalahan penyedia:</t>
  </si>
  <si>
    <t>Sisa uang muka harus dilunasi oleh Penyedia atau Jaminan Uang Muka dicairkan (apabila diberikan);</t>
  </si>
  <si>
    <t>penyedia membayar denda keterlambatan (apabila ada); dan/atau</t>
  </si>
  <si>
    <t>penyedia dikenakan Sanksi Daftar Hitam.</t>
  </si>
  <si>
    <t>Dalam hal pemutusan SPK dilakukan karena PPK terlibat penyimpangan prosedur, melakukan KKN dan/atau pelanggaran persaingan sehat dalam pelaksanaan pengadaan, maka PPK dikenakan sanksi berdasarkan peraturan perundang-undangan.</t>
  </si>
  <si>
    <t>21.</t>
  </si>
  <si>
    <t>PEMBAYARAN</t>
  </si>
  <si>
    <t>pembayaran prestasi hasil pekerjaan yang disepakati dilakukan oleh PPK, dengan ketentuan:</t>
  </si>
  <si>
    <t>penyedia telah mengajukan tagihan disertai laporan kemajuan hasil pekerjaan;</t>
  </si>
  <si>
    <t>pembayaran</t>
  </si>
  <si>
    <t>pembayaran harus dipotong denda (apabila ada), dan pajak ;</t>
  </si>
  <si>
    <t>pembayaran terakhir hanya dilakukan setelah pekerjaan selesai 100% (seratus persen) dan Berita Acara Serah Terima ditandatangani.</t>
  </si>
  <si>
    <t>PPK dalam kurun waktu 7 (tujuh) hari kerja setelah pengajuan permintaan pembayaran dari penyedia harus sudah mengajukan surat permintaan pembayaran kepada Pejabat Penandatangan Surat Perintah Membayar (PPSPM).</t>
  </si>
  <si>
    <t>bila terdapat ketidaksesuaian dalam perhitungan angsuran, tidak akan menjadi alasan untuk menunda pembayaran. PPK dapat meminta penyedia untuk menyampaikan perhitungan prestasi sementara dengan mengesampingkan hal-hal yang sedang menjadi perselisihan.</t>
  </si>
  <si>
    <t>22.</t>
  </si>
  <si>
    <t>DENDA</t>
  </si>
  <si>
    <t>Jika pekerjaan tidak dapat diselesaikan dalam jangka waktu pelaksanaan pekerjaan karena kesalahan atau kelalaian Penyedia maka Penyedia berkewajiban untuk membayar denda kepada PPK sebesar 1/1000 (satu permil) dari nilai SPK (tidak termasuk PPN) untuk setiap hari keterlambatan.</t>
  </si>
  <si>
    <t>PPK mengenakan Denda dengan memotong pembayaran prestasi pekerjaan penyedia. Pembayaran Denda tidak mengurangi tanggung jawab kontraktual penyedia.</t>
  </si>
  <si>
    <t>23.</t>
  </si>
  <si>
    <t>PENYELESAIAN PERSELISIHAN</t>
  </si>
  <si>
    <t>PPK dan penyedia berkewajiban untuk berupaya sungguh-sungguh menyelesaikan secara damai semua perselisihan yang timbul dari atau berhubungan dengan SPK ini atau interpretasinya selama atau setelah pelaksanaan pekerjaan. Jika perselisihan tidak dapat diselesaikan secara musyawarah maka perselisihan akan diselesaikan melalui Layanan Penyelesaian Sengketa, arbitrase atau Pengadilan Negeri.</t>
  </si>
  <si>
    <t>24.</t>
  </si>
  <si>
    <t>LARANGAN PEMBERIAN KOMISI</t>
  </si>
  <si>
    <t>Penyedia menjamin bahwa tidak satu pun personel satuan kerja PPK telah atau akan menerima komisi atau keuntungan tidak sah lainnya baik langsung maupun tidak langsung dari SPK ini. Penyedia menyetujui bahwa pelanggaran syarat ini merupakan pelanggaran yang mendasar terhadap SPK ini.</t>
  </si>
  <si>
    <t>SPK Pekerjaan Konstruksi</t>
  </si>
  <si>
    <t>NAMA PENGGUNA JASA</t>
  </si>
  <si>
    <t>Berkedudukan di</t>
  </si>
  <si>
    <t>Akta Notaris Nomor</t>
  </si>
  <si>
    <t>Notaris</t>
  </si>
  <si>
    <t>WAKIL SAH PENGGUNA JASA</t>
  </si>
  <si>
    <r>
      <rPr>
        <sz val="11"/>
        <color theme="1"/>
        <rFont val="Calibri"/>
        <family val="2"/>
        <scheme val="minor"/>
      </rPr>
      <t xml:space="preserve">Berdasarkan Surat Keputusan Pengguna Jasa …… nomor .…. tanggal ……. </t>
    </r>
    <r>
      <rPr>
        <i/>
        <sz val="11"/>
        <color theme="1"/>
        <rFont val="Calibri"/>
        <family val="2"/>
        <scheme val="minor"/>
      </rPr>
      <t>[diisi nomor dan tanggal SK pengangkatan Wakil Sah Pengguna Jasa]</t>
    </r>
  </si>
  <si>
    <t>MASA PELAKSANAAN PEKERJAAN:</t>
  </si>
  <si>
    <t>MASA PEMELIHARAAN PEKERJAAN:</t>
  </si>
  <si>
    <t>JENIS KONTRAK:</t>
  </si>
  <si>
    <t>DOKUMEN KONTRAK</t>
  </si>
  <si>
    <t>Dokumen-dokumen berikut merupakan satu kesatuan dan jika terjadi pertentangan antara ketentuan dalam suatu dokumen dengan ketentuan dalam dokumen yang lain maka yang berlaku adalah ketentuan dalam dokumen yang lebih tinggi berdasarkan urutan hierarki sebagai berikut:</t>
  </si>
  <si>
    <t>Adendum Surat Perintah Kerja/SPK (apabila ada);</t>
  </si>
  <si>
    <t>Surat Perintah Kerja;</t>
  </si>
  <si>
    <t>spesifikasi teknis;</t>
  </si>
  <si>
    <t>g.</t>
  </si>
  <si>
    <t>h.</t>
  </si>
  <si>
    <t>Dokumen lainnya seperti: Surat Penunjukan Penyedia Barang/Jasa, Jadwal Pelaksanaan Pekerjaan, jaminan-jaminan, Berita Acara Rapat Persiapan Pelaksanaan Kontrak.</t>
  </si>
  <si>
    <t>HARGA KONTRAK</t>
  </si>
  <si>
    <t>SISTEM PEMBAYARAN</t>
  </si>
  <si>
    <t>Pembayaran untuk kontrak ini dilakukan ke Bank ..... rekening nomor : ............. atas nama Penyedia : ................</t>
  </si>
  <si>
    <t>Bulanan:</t>
  </si>
  <si>
    <t>Termin:</t>
  </si>
  <si>
    <t>untuk pembayaran dilakukan secara bulanan, dibayar berdasarkan perhitungan progress pekerjaan yang dituangkan dalam laporan kemajuan hasil pekerjaan dan disetujui oleh Pejabat Penandatangan Kontrak.</t>
  </si>
  <si>
    <t>untuk pembayaran dilakukan secara termin, maka dilakukan dengan ketentuan:</t>
  </si>
  <si>
    <t>Termin ke-1: sebesar___% dari nilai Kontrak untuk penyelesaian tahapan pekerjaan/suboutput berupa________.</t>
  </si>
  <si>
    <t>Termin ke-2: sebesar___% dari nilai Kontrak untuk penyelesaian tahapan pekerjaan/suboutput berupa________.</t>
  </si>
  <si>
    <t>Termin ke-3: sebesar___% dari nilai Kontrak untuk penyelesaian tahapan pekerjaan/suboutput berupa________.</t>
  </si>
  <si>
    <t>dst…]</t>
  </si>
  <si>
    <t>Dokumen penunjang yang disyaratkan untuk mengajukan tagihan pembayaran prestasi pekerjaan:</t>
  </si>
  <si>
    <t>Berita Acara Penyelesaian Pekerjaan;</t>
  </si>
  <si>
    <t>Berita Acara Serah Terima Hasil Pekerjaan</t>
  </si>
  <si>
    <t>Berita Acara Pemeriksaan Administrasi Pekerjaan</t>
  </si>
  <si>
    <t>BESARAN UANG MUKA</t>
  </si>
  <si>
    <t>FASILITAS</t>
  </si>
  <si>
    <t>Pengguna Jasa memberikan fasilitas berupa :</t>
  </si>
  <si>
    <t>Untuk nilai kontrak &lt; 50 Juta diisi:</t>
  </si>
  <si>
    <t>Alat Pelindung Diri (APD);</t>
  </si>
  <si>
    <t>Alat Pelindung Kerja (APK);</t>
  </si>
  <si>
    <t>Fasilitas, sarana, prasarana, dan alat kesehatan;</t>
  </si>
  <si>
    <t>………</t>
  </si>
  <si>
    <t>Untuk nilai kontrak &gt; 50 Juta diisi:</t>
  </si>
  <si>
    <t>……………;</t>
  </si>
  <si>
    <t>....................</t>
  </si>
  <si>
    <t>(diisi fasilitas milik Pengguna Jasa yang akan diberikan kepada Penyedia untuk kelancaran pelaksanan pekerjaan ini (apabila ada))</t>
  </si>
  <si>
    <t>LARANGAN KORUPSI, KOLUSI DAN NEPOTISME (KKN), PENYALAHGUNAAN WEWENANG SERTA PENIPUAN</t>
  </si>
  <si>
    <t>menawarkan, menerima atau menjanjikan untuk memberi atau menerima hadiah atau imbalan berupa apa saja atau melakukan tindakan lainnya untuk mempengaruhi siapapun yang diketahui atau patut dapat diduga berkaitan dengan pengadaan ini;</t>
  </si>
  <si>
    <t>mendorong terjadinya persaingan tidak sehat; dan/atau</t>
  </si>
  <si>
    <t>membuat dan/atau menyampaikan secara tidak benar dokumen dan/atau keterangan lain yang disyaratkan untuk penyusunan dan pelaksanaan SPK ini;</t>
  </si>
  <si>
    <t>Penyedia menjamin bahwa yang bersangkutan termasuk semua anggota KSO (apabila berbentuk KSO) dan subpenyedianya (jika ada) tidak pernah dan tidak akan melakukan tindakan yang dilarang pada pasal di atas;</t>
  </si>
  <si>
    <t>Penyedia yang menurut penilaian Pengguna Jasa terbukti melakukan larangan-larangan di atas dapat dikenakan sanksi-sanksi administratif oleh Pengguna Jasa sesuai ketentuan peraturan-perundangan;</t>
  </si>
  <si>
    <t>Pengguna Jasa yang terlibat dalam KKN dan penipuan dikenakan sanksi berdasarkan ketentuan peraturan perundang-undangan.</t>
  </si>
  <si>
    <r>
      <rPr>
        <sz val="11"/>
        <color theme="1"/>
        <rFont val="Calibri"/>
        <family val="2"/>
        <scheme val="minor"/>
      </rPr>
      <t xml:space="preserve">Harga Kontrak telah memperhitungkan keuntungan, beban pajak, asuransi (apabila dipersyaratkan), biaya </t>
    </r>
    <r>
      <rPr>
        <i/>
        <sz val="11"/>
        <color theme="1"/>
        <rFont val="Calibri"/>
        <family val="2"/>
        <scheme val="minor"/>
      </rPr>
      <t>overhead</t>
    </r>
    <r>
      <rPr>
        <sz val="11"/>
        <color theme="1"/>
        <rFont val="Calibri"/>
        <family val="2"/>
        <scheme val="minor"/>
      </rPr>
      <t>, biaya pelaksanaan pekerjaan, dan biaya penerapan SMKK;</t>
    </r>
  </si>
  <si>
    <t>UANG MUKA</t>
  </si>
  <si>
    <t>Uang muka dibayar untuk membiayai mobilisasi peralatan/tenaga kerja konstruksi, pembayaran uang tanda jadi kepada pemasok bahan/material dan/atau untuk persiapan teknis lain;</t>
  </si>
  <si>
    <t>Untuk usaha kecil, uang muka dapat diberikan paling tinggi 30% (tiga puluh perseratus) dari Harga Pekerjaan Konstruksi;</t>
  </si>
  <si>
    <t>Dalam hal diberikan uang muka, maka Penyedia harus mengajukan permohonan pengambilan uang muka secara tertulis kepada Pengguna Jasa disertai dengan rencana penggunaan uang muka untuk melaksanakan pekerjaan sesuai SPK dan rencana pengembaliannya;</t>
  </si>
  <si>
    <t>Besaran uang muka ditentukan dalam SPK dan dibayar setelah Penyedia menyerahkan Jaminan Uang Muka paling sedikit sebesar uang muka yang diterima;</t>
  </si>
  <si>
    <t>Masa berlakunya Jaminan Uang Muka paling kurang sejak tanggal persetujuan pemberian uang muka sampai dengan Tanggal Penyerahan Pertama Pekerjaan (Provisional Hand Over/PHO);</t>
  </si>
  <si>
    <t>Pengguna Jasa harus mengajukan Surat Permintaan Pembayaran (SPP) kepada Pejabat Penandatangananan Surat Perintah Membayar (PPSPM) untuk permohonan tersebut pada huruf d, paling lambat 7 (tujuh) hari kerja setelah Jaminan Uang Muka diterima;</t>
  </si>
  <si>
    <t>Pengembalian uang muka harus diperhitungkan berangsur-angsur secara proporsional pada setiap pembayaran prestasi pekerjaan dan paling lambat harus lunas pada saat pekerjaan mencapai prestasi 100% (seratus perseratus).</t>
  </si>
  <si>
    <t>HAK DAN KEWAJIBAN PENYEDIA</t>
  </si>
  <si>
    <t>Penyedia berhak menerima pembayaran untuk pelaksanaan pekerjaan sesuai dengan harga dan ketentuan yang telah ditetapkan dalam SPK;</t>
  </si>
  <si>
    <t>Penyedia berhak meminta fasilitas-fasilitas dalam bentuk sarana dan prasarana dari Pengguna Jasa untuk kelancaran pelaksanaan pekerjaan sesuai ketentuan SPK;</t>
  </si>
  <si>
    <t>Penyedia berkewajiban melaporkan pelaksanaan pekerjaan secara periodik kepada Pengguna Jasa;</t>
  </si>
  <si>
    <t>Penyedia berkewajiban melaksanakan, menyelesaikan dan menyerahkan pekerjaan sesuai dengan jadwal pelaksanaan pekerjaan dan ketentuan yang telah ditetapkan dalam SPK;</t>
  </si>
  <si>
    <t>Penyedia berkewajiban melaksanakan dan menyelesaikan pekerjaan secara cermat, akurat dan penuh tanggung jawab dengan menyediakan tenaga kerja, bahan-bahan, peralatan, angkutan ke/atau dari lapangan, dan segala pekerjaan permanen maupun sementara yang diperlukan untuk pelaksanaan, penyelesaian dan perbaikan pekerjaan yang dirinci dalam SPK;</t>
  </si>
  <si>
    <t>Penyedia berkewajiban memberikan keterangan-keterangan yang diperlukan untuk pemeriksaan pelaksanaan yang dilakukan Pengguna Jasa;</t>
  </si>
  <si>
    <t>Penyedia berkewajiban mengambil langkah-langkah yang memadai dalam rangka memberi perlindungan kepada setiap orang yang berada di tempat kerja maupun masyarakat dan lingkungan sekitar yang berhubungan dengan pemindahan bahan baku, penggunaan peralatan kerja konstruksi dan proses produksi;</t>
  </si>
  <si>
    <t>Penyedia berkewajiban melaksanakan semua perintah Wakil Sah Pengguna Jasa/Pengawas Pekerjaan yang sesuai dengan kewenangan Wakil Sah Pengguna Jasa/Pengawas Pekerjaan dalam SPK ini.</t>
  </si>
  <si>
    <t>HAK DAN KEWAJIBAN PENGGUNA JASA</t>
  </si>
  <si>
    <t>Pengguna Jasa berhak mengawasi dan memeriksa pekerjaan yang dilaksanakan oleh Penyedia;</t>
  </si>
  <si>
    <t>Pengguna Jasa berhak menerima laporan-laporan secara periodik mengenai pelaksanaan pekerjaan yang dilaksanakan oleh Penyedia;</t>
  </si>
  <si>
    <t>Pengguna Jasa berhak menerima hasil pekerjaan sesuai dengan jadwal penyerahan pekerjaan dan ketentuan yang telah ditetapkan dalam SPK;</t>
  </si>
  <si>
    <t>Pengguna Jasa berkewajiban membayar pekerjaan sesuai dengan harga yang tercantum dalam SPK yang telah ditetapkan kepada Penyedia;</t>
  </si>
  <si>
    <t>Pengguna Jasa berkewajiban memberikan fasilitas berupa sarana dan prasarana yang dibutuhkan oleh Penyedia untuk kelancaran pelaksanaan pekerjaan sesuai ketentuan SPK; dan</t>
  </si>
  <si>
    <t>Pengguna Jasa berkewajiban menilai kinerja Penyedia.</t>
  </si>
  <si>
    <t>Setiap tindakan yang disyaratkan atau diperbolehkan untuk dilakukan, dan setiap dokumen yang disyaratkan atau diperbolehkan untuk dibuat berdasarkan SPK ini oleh Pengguna Jasa hanya dapat dilakukan atau dibuat oleh Wakil Sah Pengguna Jasa yang disebutkan dalam SPK;</t>
  </si>
  <si>
    <t>Kewenangan Wakil Sah Pengguna Jasa diatur dalam Surat Keputusan dari Pengguna Jasa dan harus disampaikan kepada Penyedia.</t>
  </si>
  <si>
    <t>Penyedia berkewajiban untuk membayar semua pajak, bea, retribusi, dan pungutan lain yang sah yang dibebankan oleh hukum yang berlaku atas pelaksanaan SPK. Semua pengeluaran perpajakan ini dianggap telah termasuk dalam harga kontrak.</t>
  </si>
  <si>
    <t>Penyedia dilarang untuk mengalihkan dan/atau mensubkontrakkan sebagian atau seluruh pekerjaan. Pengalihan seluruh pekerjaan hanya diperbolehkan dalam hal pergantian nama penyedia, baik sebagai akibat peleburan (merger) atau akibat lainnya;</t>
  </si>
  <si>
    <t>Jika ketentuan di atas dilanggar maka SPK diputuskan sepihak oleh Pengguna Jasa dan Penyedia dikenakan sanksi.</t>
  </si>
  <si>
    <t>MASA PELAKSANAAN KONTRAK</t>
  </si>
  <si>
    <t>SPK ini berlaku efektif pada tanggal penandatanganan oleh para pihak sampai dengan sampai dengan Tanggal Penyerahan Akhir Pekerjaan dan hak dan kewajiban Para Pihak yang terdapat dalam SPK sudah terpenuhi;</t>
  </si>
  <si>
    <t>Masa Pelaksanaan dihitung sejak Tanggal Mulai Kerja yang tercantum dalam SPMK sampai dengan Tanggal Penyerahan Pertama Pekerjaan;</t>
  </si>
  <si>
    <t>Masa Pemeliharaan dihitung sejak Tanggal Penyerahan Pertama Pekerjaan sampai dengan Tanggal Penyerahan Akhir Pekerjaan;</t>
  </si>
  <si>
    <t>Paling lambat 7 (tujuh) hari kalender sejak diterbitkannya SPMK dan sebelum pelaksanaan pekerjaan, Pengguna Jasa bersama dengan Penyedia, unsur perancangan, dan unsur pengawasan, harus sudah menyelenggarakan rapat persiapan pelaksanaan kontrak;</t>
  </si>
  <si>
    <t>Hasil rapat persiapan pelaksanaan Kontrak dituangkan dalam Berita Acara Rapat Persiapan Pelaksanaan Kontrak;</t>
  </si>
  <si>
    <r>
      <rPr>
        <sz val="11"/>
        <color theme="1"/>
        <rFont val="Calibri"/>
        <family val="2"/>
        <scheme val="minor"/>
      </rPr>
      <t>Pada tahap awal pelaksanaan kontrak, Pengguna Jasa dan Pengawas Pekerjaan bersama-sama dengan Penyedia melakukan pengukuran dan pemeriksaan detail terhadap kondisi lokasi pekerjaan untuk setiap keluaran (</t>
    </r>
    <r>
      <rPr>
        <i/>
        <sz val="11"/>
        <color theme="1"/>
        <rFont val="Calibri"/>
        <family val="2"/>
        <scheme val="minor"/>
      </rPr>
      <t>output</t>
    </r>
    <r>
      <rPr>
        <sz val="11"/>
        <color theme="1"/>
        <rFont val="Calibri"/>
        <family val="2"/>
        <scheme val="minor"/>
      </rPr>
      <t>), Tenaga Kerja Konstruksi, dan Peralatan Utama (</t>
    </r>
    <r>
      <rPr>
        <i/>
        <sz val="11"/>
        <color theme="1"/>
        <rFont val="Calibri"/>
        <family val="2"/>
        <scheme val="minor"/>
      </rPr>
      <t>Mutual Check</t>
    </r>
    <r>
      <rPr>
        <sz val="11"/>
        <color theme="1"/>
        <rFont val="Calibri"/>
        <family val="2"/>
        <scheme val="minor"/>
      </rPr>
      <t xml:space="preserve"> 0%);</t>
    </r>
  </si>
  <si>
    <t>Hasil pemeriksaan bersama dituangkan dalam Berita Acara. Apabila dalam pengukuran/pemeriksaan bersama mengakibatkan perubahan isi kontrak, maka harus dituangkan dalam adendum SPK;</t>
  </si>
  <si>
    <t>Penyedia harus menyelesaikan pekerjaan sesuai jadwal yang ditentukan;</t>
  </si>
  <si>
    <t>i.</t>
  </si>
  <si>
    <t>Apabila penyedia tidak dapat menyelesaikan pekerjaan sesuai jadwal karena keadaan diluar pengendaliannya dan penyedia telah melaporkan kejadian tersebut kepada Pengguna Jasa, maka Pengguna Jasa dapat melakukan penjadwalan kembali pelaksanaan tugas penyedia dengan adendum SPK.</t>
  </si>
  <si>
    <t>PENGENDALIAN WAKTU</t>
  </si>
  <si>
    <t>Kecuali SPK diputuskan lebih awal, Penyedia berkewajiban untuk memulai pelaksanaan pekerjaan pada Tanggal Mulai Kerja, dan melaksanakan pekerjaan sesuai dengan jadwal yang telah disepakati sewaktu Rapat Persiapan Pelaksanaan Kontrak, serta menyelesaikan pekerjaan paling lambat selama Masa Pelaksanaan yang dinyatakan dalam SPK;</t>
  </si>
  <si>
    <t>Apabila Penyedia berpendapat tidak dapat menyelesaikan pekerjaan sesuai Masa Pelaksanaan karena di luar pengendaliannya yang dapat dibuktikan demikian, dan Penyedia telah melaporkan kejadian tersebut kepada Pengguna Jasa, dengan disertai bukti-bukti yang dapat disetujui Pengguna Jasa, maka Pengguna Jasa dapat memberlakukan Peristiwa Kompensasi dan melakukan penjadwalan kembali pelaksanaan tugas Penyedia dengan membuat adendum SPK;</t>
  </si>
  <si>
    <t>Jika pekerjaan tidak selesai sesuai Masa Pelaksanaan bukan akibat Keadaan Kahar atau Peristiwa Kompensasi atau karena kesalahan atau kelalaian Penyedia maka Penyedia dikenakan denda.</t>
  </si>
  <si>
    <t>KETERLAMBATAN PELAKSANAAN PEKERJAAN</t>
  </si>
  <si>
    <t>Apabila Penyedia terlambat melaksanakan pekerjaan sesuai jadwal, maka Pengguna Jasa harus memberikan peringatan secara tertulis atau dikenakan ketentuan tentang kontrak kritis;</t>
  </si>
  <si>
    <t>Kontrak dinyatakan kritis apabila realisasi fisik pelaksanaan terlambat lebih besar 10% dari rencana;</t>
  </si>
  <si>
    <t>Penanganan kontrak terlambat dilakukan dengan rapat pembuktian (show cause meeting/SCM) sebagai berikut:</t>
  </si>
  <si>
    <t>Pada saat Kontrak dinyatakan kritis, Pengawas Pekerjaan memberikan peringatan secara tertulis kepada Penyedia dan selanjutnya menyelenggarakan Rapat Pembuktian (SCM) Tahap I.</t>
  </si>
  <si>
    <t>Dalam SCM Tahap I, Pengguna Jasa, Pengawas Pekerjaan dan Penyedia membahas dan menyepakati besaran kemajuan fisik yang harus dicapai oleh Penyedia dalam periode waktu tertentu (uji coba pertama) yang dituangkan dalam Berita Acara SCM Tahap I.</t>
  </si>
  <si>
    <t>Apabila Penyedia gagal pada uji coba pertama, maka Pengguna Jasa menerbitkan Surat Peringatan Kontrak Kritis I dan harus diselenggarakan SCM Tahap II yang membahas dan menyepakati besaran kemajuan fisik yang harus dicapai oleh Penyedia dalam waktu tertentu (uji coba kedua) yang dituangkan dalam Berita Acara SCM Tahap II.</t>
  </si>
  <si>
    <t>Apabila Penyedia gagal pada uji coba kedua, maka Pengguna Jasa menerbitkan Surat Peringatan Kontrak Kritis II dan harus diselenggarakan SCM Tahap III yang membahas dan menyepakati besaran kemajuan fisik yang harus dicapai oleh Penyedia dalam waktu tertentu (uji coba ketiga) yang dituangkan dalam Berita Acara SCM Tahap III.</t>
  </si>
  <si>
    <t>Apabila Penyedia gagal pada uji coba ketiga, maka Pengguna Jasa menerbitkan Surat Peringatan Kontrak Kritis III dan Pengguna Jasa dapat melakukan pemutusan Kontrak secara sepihak dengan mengesampingkan Pasal 1266 dan 1267 Kitab Undang-Undang Hukum Perdata.</t>
  </si>
  <si>
    <t>Apabila uji coba berhasil, namun pada pelaksanaan pekerjaan selanjutnya Kontrak dinyatakan kritis lagi maka berlaku ketentuan SCM dari awal.</t>
  </si>
  <si>
    <t>PEMBERIAN KESEMPATAN</t>
  </si>
  <si>
    <t>Dalam hal diperkirakan Penyedia gagal menyelesaikan pekerjaan sampai Masa Pelaksanaan berakhir, namun Pengguna Jasa menilai bahwa Penyedia mampu menyelesaikan pekerjaan, Pengguna Jasa dapat memberikan kesempatan kepada Penyedia untuk menyelesaikan pekerjaan;</t>
  </si>
  <si>
    <t>Pemberian kesempatan kepada Penyedia untuk menyelesaikan pekerjaan dimuat dalam adendum SPK yang didalamnya mengatur:</t>
  </si>
  <si>
    <t>waktu pemberian kesempatan penyelesaian pekerjaan;</t>
  </si>
  <si>
    <t>pengenaan sanksi denda keterlambatan kepada Penyedia;</t>
  </si>
  <si>
    <t>Pemberian kesempatan kepada Penyedia menyelesaikan pekerjaan dengan diikuti pengenaan denda keterlambatan;</t>
  </si>
  <si>
    <t>Pemberian kesempatan kepada Penyedia untuk menyelesaikan pekerjaan dilaksanakan dengan ketentuan:</t>
  </si>
  <si>
    <t>tidak dapat melampaui Tahun Anggaran; dan</t>
  </si>
  <si>
    <t>paling lama sama dengan Masa Pelaksanaan awal.</t>
  </si>
  <si>
    <t>PERLINDUNGAN TENAGA KERJA</t>
  </si>
  <si>
    <t>Apabila dipersyaratkan, penyedia wajib menyediakan perlindungan bagi tenaga kerja konstruksi nya, minimal berupa BPJS Ketenagakerjaan;</t>
  </si>
  <si>
    <t>Besarnya perlindungan bagi tenaga kerja sudah diperhitungkan dalam penawaran dan termasuk dalam harga Kontrak.</t>
  </si>
  <si>
    <t>Penyedia berkewajiban untuk melindungi, membebaskan, dan menanggung tanpa batas Pengguna Jasa beserta instansinya terhadap semua bentuk tuntutan, tanggung jawab, kewajiban, kehilangan, kerugian, denda, gugatan atau tuntutan hukum, proses pemeriksaan hukum, dan biaya yang dikenakan terhadap Pengguna Jasa beserta instansinya (kecuali kerugian yang mendasari tuntutan tersebut disebabkan kesalahan atau kelalaian berat Pengguna Jasa) sehubungan dengan klaim yang timbul dari hal-hal berikut terhitung sejak Tanggal Mulai Kerja sampai dengan Tanggal Penyerahan Akhir Pekerjaan:</t>
  </si>
  <si>
    <t>kehilangan atau kerusakan peralatan dan harta benda Penyedia, dan tenaga kerja konstruksi;</t>
  </si>
  <si>
    <t>cidera tubuh, sakit atau kematian tenaga kerja konstruksi;</t>
  </si>
  <si>
    <t>kehilangan atau kerusakan harta benda, dan cidera tubuh, sakit atau kematian pihak ketiga.</t>
  </si>
  <si>
    <t>Terhitung sejak Tanggal Mulai Kerja sampai dengan Tanggal Penyerahan Akhir Pekerjaan, semua risiko kehilangan atau kerusakan hasil pekerjaan ini, bahan dan perlengkapan merupakan risiko Penyedia, kecuali kerugian atau kerusakan tersebut diakibatkan oleh kesalahan atau kelalaian Pengguna Jasa;</t>
  </si>
  <si>
    <t>Pertanggungan asuransi yang dimiliki oleh Penyedia tidak membatasi kewajiban penanggungan dalam pasal ini;</t>
  </si>
  <si>
    <t>Kehilangan atau kerusakan terhadap hasil pekerjaan atau bahan yang menyatu dengan hasil pekerjaan sejak Tanggal Mulai Kerja sampai dengan Tanggal Penyerahan Akhir Pekerjaan harus diganti atau diperbaiki oleh Penyedia atas tanggungannya sendiri jika kehilangan atau kerusakan tersebut terjadi akibat tindakan atau kelalaian Penyedia.</t>
  </si>
  <si>
    <t>PENGAWASAN DAN PEMERIKSAAN MUTU</t>
  </si>
  <si>
    <t>Pengguna Jasa berwenang melakukan pengawasan dan pemeriksaan terhadap pelaksanaan pekerjaan yang dilaksanakan oleh penyedia. Apabila diperlukan, Pengguna Jasa dapat memerintahkan kepada pihak ketiga untuk melakukan pengawasan dan pemeriksaan atas semua pelaksanaan pekerjaan yang dilaksanakan oleh penyedia;</t>
  </si>
  <si>
    <t>Pengguna Jasa memberitahukan secara tertulis penyedia atas setiap cacat mutu yang ditemukan. Pengguna Jasa dapat memerintahkan penyedia untuk menemukan dan mengungkapkan cacat mutu, serta menguji pekerjaan yang dianggap oleh Pengguna Jasa mengandung cacat mutu. Penyedia bertanggung jawab atas cacat mutu selama Masa Kontrak;</t>
  </si>
  <si>
    <t>Terhadap pemberitahuan Cacat Mutu tersebut, Penyedia berkewajiban untuk memperbaiki Cacat Mutu dalam jangka waktu yang ditetapkan dalam pemberitahuan;</t>
  </si>
  <si>
    <t>Jika Penyedia tidak memperbaiki Cacat Mutu dalam jangka waktu yang ditentukan maka Pengguna Jasa, berdasarkan pertimbangan Pengawas Pekerjaan, berhak untuk secara langsung atau melalui pihak ketiga yang ditunjuk oleh Pengguna Jasa melakukan perbaikan tersebut. Penyedia segera setelah menerima klaim Pengguna Jasa secara tertulis berkewajiban untuk mengganti biaya perbaikan tersebut. Pengguna Jasa dapat memperoleh penggantian biaya dengan memotong pembayaran atas tagihan Penyedia yang jatuh tempo (jika ada) atau uang retensi atau pencairan Jaminan Pemeliharaan atau jika tidak ada maka biaya penggantian akan diperhitungkan sebagai utang Penyedia kepada Pengguna Jasa yang telah jatuh tempo;</t>
  </si>
  <si>
    <t>Pengguna Jasa mengenakan denda keterlambatan untuk setiap keterlambatan perbaikan Cacat Mutu dan mengenakan Sanksi Daftar Hitam kepada Penyedia jika tidak melaksanakan perbaikan cacat mutu;</t>
  </si>
  <si>
    <t>Jangka waktu perbaikan akibat Cacat Mutu paling lambat adalah 14 hari setelah diterimanya pemberitahuan cacat mutu oleh Penyedia.</t>
  </si>
  <si>
    <t>Pemeriksaan pekerjaan dilakukan selama pelaksanaan kontrak untuk menetapkan volume pekerjaan atau kegiatan yang telah dilaksanakan guna pembayaran hasil pekerjaan. Hasil pemeriksaan pekerjaan dituangkan dalam laporan kemajuan hasil pekerjaan;</t>
  </si>
  <si>
    <t>Untuk kepentingan pengendalian dan pengawasan pelaksanaan pekerjaan, seluruh aktivitas kegiatan pekerjaan dilokasi pekerjaan dicatat dalam buku harian sebagai bahan laporan kemajuan hasil pekerjaan yang berisi rencana dan realisasi pekerjaan dan catatan-catatan lain yang berkenaan dengan pelaksanaan pekerjaan;</t>
  </si>
  <si>
    <t>Laporan kemajuan hasil pekerjaan dapat dibuat harian, mingguan atau bulanan sesuai dengan kebutuhan;</t>
  </si>
  <si>
    <t>Untuk merekam kegiatan pelaksanaan pekerjaan konstruksi, Pengguna Jasa dan Penyedia membuat foto-foto dokumentasi dan video pelaksanaan pekerjaan di lokasi pekerjaan sesuai kebutuhan;</t>
  </si>
  <si>
    <t>Laporan kemajuan hasil pekerjaan dibuat oleh Penyedia, diperiksa oleh Pengawas Pekerjaan, dan disetujui oleh Pengguna Jasa/ pihak Pengguna Jasa.</t>
  </si>
  <si>
    <t>Setelah pekerjaan selesai 100% (seratus persen), sesuai dengan ketentuan yang tertuang dalam SPK, Penyedia mengajukan permintaan secara tertulis kepada Pengguna Jasa untuk serah terima pertama pekerjaan;</t>
  </si>
  <si>
    <t>Pengguna Jasa memerintahkan Pengawas Pekerjaan untuk melakukan pemeriksaan terhadap hasil pekerjaan;</t>
  </si>
  <si>
    <t>Pemeriksaan dilakukan terhadap kesesuaian hasil pekerjaan terhadap kriteria/spesifikasi yang tercantum dalam SPK;</t>
  </si>
  <si>
    <t>Hasil pemeriksaan dari Pengawas Pekerjaan disampaikan kepada Pengguna Jasa, apabila dalam pemeriksaan hasil pekerjaan tidak sesuai dengan ketentuan yang tercantum dalam SPK dan/atau cacat hasil pekerjaan, Pengguna Jasa memerintahkan Penyedia untuk memperbaiki dan/atau melengkapi kekurangan pekerjaan;</t>
  </si>
  <si>
    <t>Apabila dalam pemeriksaan hasil pekerjaan telah sesuai dengan ketentuan yang tercantum dalam SPK maka Pengguna Jasa dan Penyedia menandatangani Berita Acara Serah Terima Pertama Pekerjaan;</t>
  </si>
  <si>
    <t>Pembayaran dilakukan sebesar 95% (sembilan puluh lima persen) dari Harga Kontrak, sedangkan yang 5% (lima persen) merupakan retensi selama masa pemeliharaan, atau pembayaran dilakukan sebesar 100% (seratus persen) dari Harga Kontrak dan Penyedia harus menyerahkan Jaminan Pemeliharaan sebesar 5% (lima persen) dari Harga Kontrak.</t>
  </si>
  <si>
    <t>MASA PEMELIHARAAN DAN SERAH TERIMA AKHIR PEKERJAAN</t>
  </si>
  <si>
    <t>Penyedia wajib memelihara hasil pekerjaan selama Masa Pemeliharaan sehingga kondisi tetap seperti pada saat penyerahan pertama pekerjaan;</t>
  </si>
  <si>
    <t>Lamanya Masa Pemeliharaan ditetapkan dalam SPK;</t>
  </si>
  <si>
    <t>Setelah Masa Pemeliharaan berakhir, Penyedia mengajukan permintaan secara tertulis kepada Pengguna Jasa untuk penyerahan akhir pekerjaan;</t>
  </si>
  <si>
    <t>Apabila dalam pemeriksaan hasil pekerjaan, Penyedia telah melaksanakan semua kewajibannya selama Masa Pemeliharaan dengan baik dan telah sesuai dengan ketentuan yang tercantum dalam SPK maka Pengguna Jasa dan Penyedia menandatangani Berita Acara Serah Terima Akhir Pekerjaan;</t>
  </si>
  <si>
    <t>Pengguna Jasa wajib melakukan pembayaran sisa Harga Kontrak yang belum dibayar atau mengembalikan Jaminan Pemeliharaan;</t>
  </si>
  <si>
    <t>Apabila Penyedia tidak melaksanakan kewajiban pemeliharaan sebagaimana mestinya, maka SPK dapat diputuskan sepihak oleh Pengguna Jasa dan Penyedia dikenakan sanksi sesuai ketentuan peraturan perundangan;</t>
  </si>
  <si>
    <t>Setelah penandatanganan Berita Acara Serah Terima Akhir Pekerjaan, Pengguna Jasa menyerahkan hasil pekerjaan kepada PA/KPA.</t>
  </si>
  <si>
    <t>Perubahan SPK dapat dilaksanakan apabila disetujui oleh para pihak, yang diakibatkan beberapa hal berikut meliputi:</t>
  </si>
  <si>
    <t>perubahan pekerjaan;</t>
  </si>
  <si>
    <t>perubahan Harga Kontrak;</t>
  </si>
  <si>
    <t>perubahan jadwal pelaksanaan pekerjaan dan/atau Masa Pelaksanaan;</t>
  </si>
  <si>
    <t>perubahan SPK yang disebabkan masalah administrasi.</t>
  </si>
  <si>
    <t>Untuk kepentingan perubahan SPK, Pengguna Jasa dapat meminta pertimbangan dari Pengawas Pekerjaan.</t>
  </si>
  <si>
    <t>PERUBAHAN PEKERJAAN</t>
  </si>
  <si>
    <t>Dalam hal terdapat perbedaan antara kondisi lapangan pada saat pelaksanaan dengan gambar dan/atau spesifikasi teknis yang ditentukan dalam dokumen SPK, Pengguna Jasa bersama Penyedia dapat melakukan perubahan pekerjaan, yang meliputi:</t>
  </si>
  <si>
    <t>menambah dan/atau mengurangi jenis kegiatan/pekerjaan;</t>
  </si>
  <si>
    <t>mengubah spesifikasi teknis dan/atau gambar pekerjaan; dan/atau</t>
  </si>
  <si>
    <t>Dalam hal tidak terjadi perubahan kondisi lapangan seperti yang dimaksud pada huruf a diatas namun ada perintah perubahan dari Pengguna Jasa, Pengguna Jasa bersama Penyedia dapat menyepakati perubahan pekerjaan yang meliputi:</t>
  </si>
  <si>
    <t>Perintah perubahan pekerjaan dibuat oleh Pengguna Jasa secara tertulis kepada Penyedia kemudian dilanjutkan dengan negosiasi teknis dan harga dengan tetap mengacu pada ketentuan yang tercantum dalam SPK awal;</t>
  </si>
  <si>
    <t>Hasil negosiasi tersebut dituangkan dalam Berita Acara sebagai dasar penyusunan adendum SPK;</t>
  </si>
  <si>
    <t>Dalam hal perubahan pekerjaan mengakibatkan penambahan Harga Kontrak, perubahan SPK dilaksanakan dengan ketentuan penambahan Harga Kontrak akhir tidak melebihi 10% (sepuluh persen) dari harga yang tercantum dalam SPK awal dan tersedianya anggaran.</t>
  </si>
  <si>
    <t>PERUBAHAN HARGA</t>
  </si>
  <si>
    <t>Perubahan Harga Kontrak dapat diakibatkan oleh perubahan pekerjaan dan/atau Peristiwa Kompensasi;</t>
  </si>
  <si>
    <t>Apabila diperlukan mata pembayaran baru, maka Penyedia jasa harus menyerahkan rincian harga satuannya kepada Pengguna Jasa. Penentuan harga satuan mata pembayaran baru dilakukan dengan negosiasi;</t>
  </si>
  <si>
    <t>Ketentuan ganti rugi akibat Peristiwa Kompensasi mengacu pada pasal Peristiwa Kompensasi.</t>
  </si>
  <si>
    <t>PERUBAHAN JADWAL PELAKSANAAN PEKERJAAN DAN/ATAU MASA PELAKSANAAN</t>
  </si>
  <si>
    <t>Perubahan jadwal pelaksanaan pekerjaan dapat diakibatkan oleh:</t>
  </si>
  <si>
    <t>perpanjangan Masa Pelaksanaan; dan/atau</t>
  </si>
  <si>
    <t>Peristiwa Kompensasi.</t>
  </si>
  <si>
    <t>Perpanjangan Masa Pelaksanaan dapat diberikan oleh Pengguna Jasa atas pertimbangan yang layak dan wajar untuk hal-hal sebagai berikut:</t>
  </si>
  <si>
    <t>Peristiwa Kompensasi; dan/atau</t>
  </si>
  <si>
    <t>Keadaan Kahar.</t>
  </si>
  <si>
    <t>Masa Pelaksanaan dapat diperpanjang paling kurang sama dengan waktu terhentinya SPK akibat Keadaan Kahar atau waktu yang diperlukan untuk menyelesaikan pekerjaan akibat dari ketentuan pada huruf b diatas;</t>
  </si>
  <si>
    <t>Pengguna Jasa dapat menyetujui perpanjangan Masa Pelaksanaan atas SPK setelah melakukan penelitian terhadap usulan tertulis yang diajukan oleh Penyedia dalam jangka waktu sesuai pertimbangan yang wajar setelah Penyedia meminta perpanjangan. Jika Penyedia lalai untuk memberikan peringatan dini atas keterlambatan atau tidak dapat bekerja sama untuk mencegah keterlambatan sesegera mungkin, maka keterlambatan seperti ini tidak dapat dijadikan alasan untuk memperpanjang Masa Pelaksanaan;</t>
  </si>
  <si>
    <t>Pengguna Jasa berdasarkan pertimbangan Pengawas Pekerjaan harus telah menetapkan ada tidaknya perpanjangan dan untuk berapa lama;</t>
  </si>
  <si>
    <t>Persetujuan perubahan jadwal pelaksanaan dan/atau perpanjangan Masa Pelaksanaan dituangkan dalam adendum SPK;</t>
  </si>
  <si>
    <t>Jika terjadi Peristiwa Kompensasi sehingga penyelesaian pekerjaan akan melampaui Masa Pelaksanaan maka Penyedia berhak untuk meminta perpanjangan Masa Pelaksanaan berdasarkan data penunjang. Pengguna Jasa berdasarkan pertimbangan Pengawas Pekerjaan memperpanjang Masa Pelaksanaan secara tertulis. Perpanjangan Masa Pelaksanaan harus dilakukan melalui adendum SPK.</t>
  </si>
  <si>
    <t>25.</t>
  </si>
  <si>
    <t>KEADAAN KAHAR</t>
  </si>
  <si>
    <t>Dalam hal terjadi keadaan kahar, Pengguna Jasa atau Penyedia memberitahukan tentang terjadinya Keadaan Kahar kepada salah satu pihak secara tertulis dengan ketentuan:</t>
  </si>
  <si>
    <t>dalam waktu paling lambat 14 (empat belas) hari kalender sejak menyadari atau seharusnya menyadari atas kejadian atau terjadinya Keadaan Kahar;</t>
  </si>
  <si>
    <t>menyertakan bukti Keadaan Kahar; dan</t>
  </si>
  <si>
    <t>menyerahkan hasil identifikasi kewajiban dan kinerja pelaksanaan yang terhambat dan/atau akan terhambat akibat Keadaan Kahar tersebut.
b. Dalam Keadaan Kahar, kegagalan salah satu Pihak untuk memenuhi kewajibannya</t>
  </si>
  <si>
    <t>Dalam Keadaan Kahar, kegagalan salah satu Pihak untuk memenuhi kewajibannya yang ditentukan dalam kontrak bukan merupakan cidera janji atau wanprestasi apabila telah dilakukan sesuai pada huruf a. Kewajiban yang dimaksud adalah hanya kewajiban dan kinerja pelaksanaan terhadap pekerjaan/bagian pekerjaan yang terdampak dan/atau akan terdampak akibat dari Keadaan Kahar.</t>
  </si>
  <si>
    <t>26.</t>
  </si>
  <si>
    <t>Peristiwa Kompensasi dapat diberikan kepada Penyedia yaitu:</t>
  </si>
  <si>
    <t>Pengguna Jasa mengubah jadwal pekerjaan yang dapat mempengaruhi pelaksanaan pekerjaan;</t>
  </si>
  <si>
    <t>keterlambatan pembayaran kepada Penyedia;</t>
  </si>
  <si>
    <t>Pengguna Jasa tidak memberikan gambar-gambar, spesifikasi dan/atau instruksi sesuai jadwal yang dibutuhkan;</t>
  </si>
  <si>
    <t>Penyedia belum bisa masuk ke lokasi sesuai jadwal dalam SPK;</t>
  </si>
  <si>
    <t>Pengguna Jasa memerintahkan penundaan pelaksanaan pekerjaan;</t>
  </si>
  <si>
    <t>Pengguna Jasa memerintahkan untuk mengatasi kondisi tertentu yang tidak dapat diduga sebelumnya yang disebabkan/tidak disebabkan oleh Pengguna Jasa; atau</t>
  </si>
  <si>
    <t>Jika Peristiwa Kompensasi mengakibatkan pengeluaran tambahan dan/atau keterlambatan penyelesaian pekerjaan maka Pengguna Jasa berkewajiban untuk membayar ganti rugi dan/atau memberikan perpanjangan Masa Pelaksanaan;</t>
  </si>
  <si>
    <t>Ganti rugi akibat Peristiwa Kompensasi hanya dapat dibayarkan jika berdasarkan data penunjang dan perhitungan kompensasi yang diajukan oleh Penyedia kepada Pengguna Jasa, dapat dibuktikan kerugian nyata;</t>
  </si>
  <si>
    <t>Perpanjangan Masa Pelaksanaan hanya dapat diberikan jika berdasarkan data penunjang danperhitungan kompensasi yang diajukan oleh Penyedia kepada Pengguna Jasa, dapat dibuktikan perlunya tambahan waktu akibat Peristiwa Kompensasi;</t>
  </si>
  <si>
    <t>Penyedia tidak berhak atas ganti rugi dan/atau perpanjangan Masa Pelaksanaan jika Penyedia gagal atau lalai untuk memberikan peringatan dini dalam mengantisipasi atau mengatasi dampak Peristiwa Kompensasi.</t>
  </si>
  <si>
    <t>27.</t>
  </si>
  <si>
    <t>Penghentian SPK dapat dilakukan karena terjadi Keadaan Kahar;</t>
  </si>
  <si>
    <t>Pemutusan SPK dilakukan dengan terlebih dahulu memberikan 3 (tiga) kali surat peringatan dari salah satu pihak ke pihak yang lain yang melakukan tindakan wanprestasi;</t>
  </si>
  <si>
    <t>Pemutusan SPK dapat dilakukan oleh Pengguna Jasa atau Penyedia;</t>
  </si>
  <si>
    <t>Pemutusan SPK dilakukan sekurang- kurangnya 14 (empat belas) hari kalender setelah Pengguna Jasa/Penyedia menyampaikan pemberitahuan rencana Pemutusan SPK secara tertulis kepada Penyedia/Pengguna Jasa;</t>
  </si>
  <si>
    <t>Dalam hal dilakukan pemutusan SPK oleh salah satu pihak maka Pengguna Jasa membayar kepada Penyedia sesuai dengan pencapaian prestasi pekerjaan yang telah diterima oleh Pengguna Jasa dikurangi denda yang harus dibayar Penyedia (apabila ada), serta Penyedia menyerahkan semua hasil pelaksanaan kepada Pengguna Jasa dan selanjutnya menjadi hak milik Pengguna Jasa;</t>
  </si>
  <si>
    <t>Mengesampingkan Pasal 1266 dan 1267 Kitab Undang-Undang Hukum Perdata, Pengguna Jasa atau Penyedia melalui pemberitahuan tertulis dapat melakukan pemutusan SPK apabila:</t>
  </si>
  <si>
    <t>Pengguna Jasa atau Penyedia terbukti melakukan KKN, kecurangan dan/atau pemalsuan dalam proses pengadaan yang diputuskan oleh Instansi yang berwenang;</t>
  </si>
  <si>
    <t>pengaduan tentang penyimpangan prosedur, dugaan KKN dan/atau pelanggaran persaingan sehat dalam pelaksanaan Pengadaan Barang/Jasa dinyatakan benar oleh Instansi yang berwenang;</t>
  </si>
  <si>
    <t>Penyedia berada dalam keadaan pailit yang diputuskan oleh pengadilan;</t>
  </si>
  <si>
    <t>Penyedia terbukti dikenakan Sanksi Daftar Hitam sebelum penandatanganan SPK;</t>
  </si>
  <si>
    <t>Penyedia gagal memperbaiki kinerja;</t>
  </si>
  <si>
    <t>Penyedia lalai/cidera janji dalam melaksanakan kewajibannya dan tidak memperbaiki kelalaiannya dalam jangka waktu yang telah ditetapkan;</t>
  </si>
  <si>
    <t>berdasarkan penelitian Pengguna Jasa, Penyedia tidak akan mampu menyelesaikan keseluruhan pekerjaan walaupun diberikan kesempatan sejak masa berakhirnya pelaksanaan pekerjaan untuk menyelesaikan pekerjaan;</t>
  </si>
  <si>
    <t>setelah diberikan kesempatan menyelesaikan pekerjaan sejak masa berakhirnya pelaksanaan pekerjaan, Penyedia tidak dapat menyelesaikan pekerjaan;</t>
  </si>
  <si>
    <t>Penyedia menghentikan pekerjaan selama 28 (dua puluh delapan) hari kalender dan penghentian ini tidak tercantum dalam jadwal pelaksanaan pekerjaan serta tanpa persetujuan pengawas pekerjaan;</t>
  </si>
  <si>
    <t>Penyedia mengalihkan seluruh kontrak bukan dikarenakan pergantian nama Penyedia;</t>
  </si>
  <si>
    <t>11)</t>
  </si>
  <si>
    <t>setelah mendapatkan persetujuan Pengguna Jasa, Pengawas Pekerjaan memerintahkan Penyedia untuk menunda pelaksanaan pekerjaan atau kelanjutan pekerjaan, dan perintah tersebut tidak ditarik selama 28 (dua puluh delapan) hari kalender; atau</t>
  </si>
  <si>
    <t>12)</t>
  </si>
  <si>
    <t>Pengguna Jasa tidak menerbitkan Surat Permintaan Pembayaran (SPP) untuk pembayaran tagihan angsuran sesuai dengan yang disepakati.</t>
  </si>
  <si>
    <t>Dalam hal pemutusan SPK dilakukan pada Masa Pelaksanaan karena kesalahan Penyedia maka:</t>
  </si>
  <si>
    <t>Sisa uang muka harus dilunasi oleh Penyedia atau Jaminan Uang Muka dicairkan terlebih dahulu (apabila diberikan);</t>
  </si>
  <si>
    <t>penyedia membayar denda (apabila ada); dan</t>
  </si>
  <si>
    <t>Dalam hal pemutusan SPK dilakukan pada Masa Pemeliharaan karena kesalahan Penyedia, maka:</t>
  </si>
  <si>
    <t>Pengguna Jasa berhak untuk tidak membayar retensi atau Jaminan Pemeliharaan dicairkan terlebih dahulu untuk membiayai perbaikan/pemeliharaan; dan</t>
  </si>
  <si>
    <t>Penyedia dikenakan sanksi Daftar Hitam.</t>
  </si>
  <si>
    <t>Dalam hal pemutusan SPK dilakukan karena Pengguna Jasa terlibat penyimpangan prosedur, melakukan KKN dan/atau pelanggaran persaingan sehat dalam pelaksanaan pengadaan, maka Pengguna Jasa dikenakan sanksi berdasarkan peraturan perundang-undangan;</t>
  </si>
  <si>
    <t>j.</t>
  </si>
  <si>
    <t>Pencairan jaminan sebagaimana dimaksud di atas, dicairkan dan disetorkan ke kas Negara/Daerah;</t>
  </si>
  <si>
    <t>k.</t>
  </si>
  <si>
    <t>Dalam hal terdapat nilai sisa penggunaan uang retensi atau uang pencairan Jaminan Pemeliharaan untuk membiayai pembiayaan/pemeliharaan maka Pengguna Jasa wajib menyetorkan ke kas Negara/Daerah.</t>
  </si>
  <si>
    <t>28.</t>
  </si>
  <si>
    <t>Pembayaran prestasi hasil pekerjaan yang disepakati dilakukan oleh Pengguna Jasa, dengan ketentuan:</t>
  </si>
  <si>
    <t>Penyedia telah mengajukan tagihan disertai laporan kemajuan hasil pekerjaan;</t>
  </si>
  <si>
    <t>pembayaran dilakukan tidak boleh melebihi kemajuan hasil pekerjaan yang telah dicapai dan diterima oleh Pengguna Jasa;</t>
  </si>
  <si>
    <t>pembayaran dilakukan terhadap pekerjaan yang sudah terpasang;</t>
  </si>
  <si>
    <t>pembayaran dilakukan dengan sistem termin atau sekaligus sesuai ketentuan dalam SPK;</t>
  </si>
  <si>
    <t>pembayaran harus memperhitungkan:</t>
  </si>
  <si>
    <t>angsuran uang muka;</t>
  </si>
  <si>
    <t>ii.</t>
  </si>
  <si>
    <t>denda dan/atau ganti rugi (apabila ada);</t>
  </si>
  <si>
    <t>iii.</t>
  </si>
  <si>
    <t>pajak; dan/atau</t>
  </si>
  <si>
    <t>iv.</t>
  </si>
  <si>
    <t>uang retensi.</t>
  </si>
  <si>
    <t>pembayaran terakhir hanya dilakukan setelah pekerjaan selesai 100% (seratus persen) dan Berita Acara Serah Terima Pertama Pekerjaan ditandatangani oleh Pengguna Jasa dan Penyedia;</t>
  </si>
  <si>
    <t>Sebelum pembayaran terakhir dilakukan, Penyedia berkewajiban untuk menyerahkan kepada Pengawas Pekerjaan rincian perhitungan nilai tagihan terakhir yang jatuh tempo. Pengguna Jasa berdasarkan hasil penelitian tagihan oleh Pengawas Pekerjaan berkewajiban untuk menerbitkan SPP untuk pembayaran tagihan angsuran terakhir paling lambat 7 (tujuh) hari kerja terhitung sejak tagihan dan dokumen penunjang dinyatakan lengkap dan diterima oleh Pengawas Pekerjaan;</t>
  </si>
  <si>
    <t>Pengguna Jasa dalam kurun waktu 7 (tujuh) hari kerja setelah pengajuan permintaan pembayaran dari Penyedia diterima harus sudah mengajukan Surat Permintaan Pembayaran kepada Pejabat Penandatanganan Surat Perintah Membayar (PPSPM);</t>
  </si>
  <si>
    <t>apabila terdapat ketidaksesuaian dalam perhitungan angsuran, tidak akan menjadi alasan untuk menunda pembayaran. Pengguna Jasa dapat meminta Penyedia untuk menyampaikan perhitungan prestasi sementara dengan mengesampingkan hal-hal yang sedang menjadi perselisihan;</t>
  </si>
  <si>
    <t>Pengguna Jasa dapat menangguhkan pembayaran setiap angsuran prestasi pekerjaan Penyedia jika Penyedia gagal atau lalai memenuhi kewajiban kontraktualnya, termasuk penyerahan setiap Hasil Pekerjaan sesuai dengan waktu yang telah ditetapkan melalui pemberitahuan tertulis.</t>
  </si>
  <si>
    <t>29.</t>
  </si>
  <si>
    <t>DENDA DAN GANTI RUGI</t>
  </si>
  <si>
    <t>Denda merupakan sanksi finansial yang dikenakan kepada Penyedia, antara lain: denda keterlambatan dalam penyelesaian pelaksanaan pekerjaan, denda keterlambatan dalam perbaikan Cacat Mutu;</t>
  </si>
  <si>
    <t>Ganti rugi merupakan sanksi finansial yang dikenakan kepada Pengguna Jasa maupun Penyedia karena terjadinya cidera janji/wanprestasi. Besarnya sanksi ganti rugi adalah sebesar nilai kerugian yang ditimbulkan;</t>
  </si>
  <si>
    <t>Besarnya denda keterlambatan yang dikenakan kepada Penyedia atas keterlambatan penyelesaian pekerjaan adalah 1‰ (satu perseribu) dari Harga Kontrak (sebelum PPN);</t>
  </si>
  <si>
    <t>Besaran denda keterlambatan perbaikan akibat Cacat Mutu untuk setiap hari keterlambatan adalah 1/1000 (satu per seribu) dari biaya perbaikan cacat mutu;</t>
  </si>
  <si>
    <t>Besarnya ganti rugi sebagai akibat Peristiwa Kompensasi yang dibayar oleh Pengguna Jasa atas keterlambatan pembayaran adalah sebesar bunga dari nilai tagihan yang terlambat dibayar, berdasarkan tingkat suku bunga yang berlaku pada saat itu menurut ketetapan Bank Indonesia, sepanjang telah diputuskan oleh lembaga yang berwenang;</t>
  </si>
  <si>
    <t>Ganti rugi kepada Penyedia dapat mengubah Harga Kontrak setelah dituangkan dalam adendum SPK;</t>
  </si>
  <si>
    <t>Pembayaran ganti rugi dilakukan oleh Pengguna Jasa, apabila Penyedia telah mengajukan tagihan disertai perhitungan dan data-data.</t>
  </si>
  <si>
    <t>Pengguna Jasa dan penyedia berkewajiban untuk berupaya sungguh-sungguh menyelesaikan secara damai semua perselisihan yang timbul dari atau berhubungan dengan SPK ini atau interpretasinya selama atau setelah pelaksanaan pekerjaan. Jika perselisihan tidak dapat diselesaikan secara musyawarah maka perselisihan akan diselesaikan melalui Mediasi, Konsiliasi, atau arbitrase.</t>
  </si>
  <si>
    <t>Yang ini pengajuannya per paket</t>
  </si>
  <si>
    <t>Yang ini pengajuannya beberapa paket sekaligus</t>
  </si>
  <si>
    <t>1 (satu) Gabung</t>
  </si>
  <si>
    <t>Kepada Yth.</t>
  </si>
  <si>
    <t>di -</t>
  </si>
  <si>
    <t>Paket Pekerjaan</t>
  </si>
  <si>
    <t>Nilai HPS
(Rp.)</t>
  </si>
  <si>
    <t>Identitas Perusahaan</t>
  </si>
  <si>
    <t>Adapun mengenai Dokumen Persiapan Pengadaan (DPP) yang terdiri dari HPS, Spesifikasi Teknis/KAK, dan rancangan kontrak terlampir.</t>
  </si>
  <si>
    <t>Demikian disampaikan, atas perhatiannya diucapkan terima kasih.</t>
  </si>
  <si>
    <t>BERITA ACARA REVIU DOKUMEN PERSIAPAN PENGADAAN</t>
  </si>
  <si>
    <t>Berdasarkan permintaan dari</t>
  </si>
  <si>
    <t>Nomor dan Tanggal Pengajuan</t>
  </si>
  <si>
    <t>Nama Pengadaan</t>
  </si>
  <si>
    <t>URAIAN</t>
  </si>
  <si>
    <t>PEMAKETAN</t>
  </si>
  <si>
    <t>Nomor/Kode RUP</t>
  </si>
  <si>
    <t>Jasa lainnya</t>
  </si>
  <si>
    <t>Kode Akun (MAK)</t>
  </si>
  <si>
    <t>LINGKUP PEKERJAAN / SPESIFIKASI / GAMBAR</t>
  </si>
  <si>
    <t>Spesifikasi Teknis/KAK dan Gambar</t>
  </si>
  <si>
    <t>ü</t>
  </si>
  <si>
    <t>Memadai</t>
  </si>
  <si>
    <t>Kurang</t>
  </si>
  <si>
    <t>Belum ada</t>
  </si>
  <si>
    <t>Ketersediaan barang/jasa di pasar</t>
  </si>
  <si>
    <t>Tersedia</t>
  </si>
  <si>
    <t>Tidak Tersedia</t>
  </si>
  <si>
    <t>Tidak mengarah pada merek/produk tertentu</t>
  </si>
  <si>
    <t>Tidak</t>
  </si>
  <si>
    <t>Dikecualikan, mis: untuk Tender Cepat</t>
  </si>
  <si>
    <t>HARGA PERKIRAAN SENDIRI (HPS)</t>
  </si>
  <si>
    <t>Nilai HPS</t>
  </si>
  <si>
    <t>Ditetapkan oleh</t>
  </si>
  <si>
    <t>Sumber HPS</t>
  </si>
  <si>
    <t>survey harga</t>
  </si>
  <si>
    <t>Memperhitungkan Kewajiban perpajakan / cukai / asuransi / SMK3</t>
  </si>
  <si>
    <t>Ya</t>
  </si>
  <si>
    <t>Belum</t>
  </si>
  <si>
    <t>HPS telah ditetapkan oleh PPK</t>
  </si>
  <si>
    <t>Tanggal:</t>
  </si>
  <si>
    <t>D</t>
  </si>
  <si>
    <t>RANCANGAN KONTRAK</t>
  </si>
  <si>
    <t>Acuan Surat Perjanjian</t>
  </si>
  <si>
    <t>MDP LKPP</t>
  </si>
  <si>
    <t>Isian SSUK dan SSKK</t>
  </si>
  <si>
    <t>Sesuai</t>
  </si>
  <si>
    <t>Belum sesuai</t>
  </si>
  <si>
    <t>Belum diisi</t>
  </si>
  <si>
    <t>Lampiran A dan B untuk konstruksi</t>
  </si>
  <si>
    <t>hari kalender</t>
  </si>
  <si>
    <t>Tidak diberikan</t>
  </si>
  <si>
    <t>Bulanan</t>
  </si>
  <si>
    <t>Termin</t>
  </si>
  <si>
    <t>Peralatan/Fasilitas</t>
  </si>
  <si>
    <t>Personil</t>
  </si>
  <si>
    <t>Masa Pemeliharaan / Garansi **)</t>
  </si>
  <si>
    <t>tahun</t>
  </si>
  <si>
    <t>Sertifikat Garansi **)</t>
  </si>
  <si>
    <t>Dipersyaratkan</t>
  </si>
  <si>
    <t>Tidak dipersyaratkan/diperlukan</t>
  </si>
  <si>
    <t>E</t>
  </si>
  <si>
    <t>KELENGKAPAN UNTUK TENDER PEKERJAAN KONSTRUKSI</t>
  </si>
  <si>
    <t>Metode Pelaksanaan telah ditetapkan</t>
  </si>
  <si>
    <t>Daftar Pekerjaan Utama</t>
  </si>
  <si>
    <t>Daftar Identifikasi Risiko</t>
  </si>
  <si>
    <t>Jenis Pekerjaan</t>
  </si>
  <si>
    <r>
      <rPr>
        <sz val="11"/>
        <color theme="1"/>
        <rFont val="Calibri"/>
        <family val="2"/>
        <scheme val="minor"/>
      </rPr>
      <t xml:space="preserve">Pekerjaan Tunggal / </t>
    </r>
    <r>
      <rPr>
        <strike/>
        <sz val="11"/>
        <color theme="1"/>
        <rFont val="Calibri"/>
        <family val="2"/>
        <scheme val="minor"/>
      </rPr>
      <t>Pekerjaan Terintegrasi</t>
    </r>
    <r>
      <rPr>
        <sz val="10"/>
        <rFont val="Arial"/>
        <family val="2"/>
      </rPr>
      <t xml:space="preserve"> *)</t>
    </r>
  </si>
  <si>
    <t>Peninjauan Lapangan</t>
  </si>
  <si>
    <t>Ada</t>
  </si>
  <si>
    <t>Tidak ada</t>
  </si>
  <si>
    <t>Sesuai permintaan</t>
  </si>
  <si>
    <t>F</t>
  </si>
  <si>
    <t>KETERANGAN</t>
  </si>
  <si>
    <t>G</t>
  </si>
  <si>
    <t>KESIMPULAN</t>
  </si>
  <si>
    <t>Dapat Dilanjutkan</t>
  </si>
  <si>
    <t>cat:</t>
  </si>
  <si>
    <t>*) coret yang tidak perlu</t>
  </si>
  <si>
    <t>**) jika diperlukan</t>
  </si>
  <si>
    <t xml:space="preserve">4. </t>
  </si>
  <si>
    <t xml:space="preserve">5. </t>
  </si>
  <si>
    <t>PEMERINTAH PROVINSI NUSA TENGGARA BARAT</t>
  </si>
  <si>
    <t>1 (satu) berkas</t>
  </si>
  <si>
    <t>Penetapan Persiapan Pemilihan</t>
  </si>
  <si>
    <t>Berdasarkan dokumen persiapan pengadaan yang diserahkan oleh PPK, Pokja Pemilihan melakukan analisis pasar untuk mengetahui kemungkinan ketersediaan barang/jasa dan Pelaku Usaha dalam negeri yang mampu dan memenuhi persyaratan untuk melaksanakan pekerjaan. Hasil analisis pasar digunakan untuk menentukan metode kualifikasi dan/atau metode pemilihan Penyedia.</t>
  </si>
  <si>
    <t>Dalam hal hasil analisis pasar diketahui tidak ada Pelaku Usaha dalam negeri yang mampu dan memenuhi persyaratan untuk melaksanakan pekerjaan maka Pokja Pemilihan mengusulkan dan meminta persetujuan kepada PPK untuk dilaksanakan melalui Tender/Seleksi Internasional.</t>
  </si>
  <si>
    <t>Metode Pemilihan</t>
  </si>
  <si>
    <t>Penunjukan Langsung</t>
  </si>
  <si>
    <t>Metode Evaluasi Penawaran</t>
  </si>
  <si>
    <t>Harga Terendah</t>
  </si>
  <si>
    <t>Metode Penyampaian Penawaran</t>
  </si>
  <si>
    <t>Jadwal Pemilihan</t>
  </si>
  <si>
    <t>a</t>
  </si>
  <si>
    <t>Pengumuman Tender</t>
  </si>
  <si>
    <t>s/d</t>
  </si>
  <si>
    <t>b</t>
  </si>
  <si>
    <t>Pendaftaran dan pengambilan
dokumen</t>
  </si>
  <si>
    <t>c</t>
  </si>
  <si>
    <t>Pemberian Penjelasan</t>
  </si>
  <si>
    <t>jam 09.00 s/d 11.00 WITA</t>
  </si>
  <si>
    <t>d</t>
  </si>
  <si>
    <t>Penyampaian Dokumen Penawaran</t>
  </si>
  <si>
    <t>(pada hari kerja dan jam kerja)</t>
  </si>
  <si>
    <t>e</t>
  </si>
  <si>
    <t>Pembukaan Dokumen Penawaran</t>
  </si>
  <si>
    <t>f</t>
  </si>
  <si>
    <t>Evaluasi Penawaran</t>
  </si>
  <si>
    <t>g</t>
  </si>
  <si>
    <t>Pembuktian kualifikasi kepada calon Pemenang</t>
  </si>
  <si>
    <t>h</t>
  </si>
  <si>
    <t>penetapan pemenang dan pengumuman</t>
  </si>
  <si>
    <t>i</t>
  </si>
  <si>
    <t>masa sanggah</t>
  </si>
  <si>
    <t>j</t>
  </si>
  <si>
    <t>Laporan Pokja Pemilihan</t>
  </si>
  <si>
    <t>Dokumen Pemilihan</t>
  </si>
  <si>
    <t>Jaminan Penawaran</t>
  </si>
  <si>
    <t>Jaminan Sanggah Banding</t>
  </si>
  <si>
    <t>TKDN</t>
  </si>
  <si>
    <t>Keterangan</t>
  </si>
  <si>
    <t>Telah terjadi gagal tender sebanyak 2 (dua) kali.</t>
  </si>
  <si>
    <t>Pada tender pertama karena jumlah peserta yang memasukkan penawaran hanya 2 (dua) peserta, kurang dari 3 (peserta) sehingga tender dinyatakan gagal dan dokumen penawaran peserta tidak dibuka.</t>
  </si>
  <si>
    <t>Dua peserta yang memasukkan penawaran adalah PT. Sinergi Khandra Aidera dan Penjahit Ardana.</t>
  </si>
  <si>
    <t>Pada tender kedua hanya ada 1 (satu) peserta yang menyampaikan penawaran, yaitu PT. Sinergi Khandra Aidera. Proses tender ulang tetap dilanjutkan meskipun peserta kurang dari 3 (tiga).</t>
  </si>
  <si>
    <t>Dalam tahap evaluasi, diketahui bahwa PT. Sinergi Khandra Aidera memiliki kualifikasi menengah sementara syarat kualifikasi paket ini adalah kecil sehingga dinyatakan gugur kualifikasi.</t>
  </si>
  <si>
    <t>Memperhatikan poin-poin di atas, sebagai tindak lanjut dari tender ulang gagal, maka dilakukan penunjukan langsung kepada penyedia yang dianggap mampu.</t>
  </si>
  <si>
    <t>Dari pelaksanaan tender sebelumnya, hanya ada 1 pelaku usaha yang berminat melaksanakan pekerjaan ini dengan lingkup pekerjaan dan syarat-syarat yang tercantum serta nilai imbalan yang disediakan.</t>
  </si>
  <si>
    <t>Penetapan Jadwal Pemilihan</t>
  </si>
  <si>
    <t>Jadwal pemilihan sebagaimana tercantum dalam SPSE.</t>
  </si>
  <si>
    <t>Kegiatan</t>
  </si>
  <si>
    <t>Hari/Tanggal</t>
  </si>
  <si>
    <t>Waktu</t>
  </si>
  <si>
    <t>Pemasukan dan Pembukaan Dokumen Penawaran</t>
  </si>
  <si>
    <t>Evaluasi, Klarifikasi Teknis dan Negosiasi Harga</t>
  </si>
  <si>
    <t>Penandatanganan SPK</t>
  </si>
  <si>
    <t>Penetapan Persyaratan Penyedia dan Dokumen Pemilihan</t>
  </si>
  <si>
    <t>Persyaratan Penyedia dan Dokumen Pemilihan sebagaimana terlampir.</t>
  </si>
  <si>
    <t>Tandatangan</t>
  </si>
  <si>
    <t>Ketua</t>
  </si>
  <si>
    <t>sudah ada di SPSE, tidak perlu lagi</t>
  </si>
  <si>
    <t>Nilai Total HPS</t>
  </si>
  <si>
    <t>Sumber Pendanaan</t>
  </si>
  <si>
    <t>Pelaksanaan Pengadaan</t>
  </si>
  <si>
    <t>Telepon</t>
  </si>
  <si>
    <t>Saudara diminta untuk memasukan penawaran, secara langsung sesuai dengan jadwal pelaksanaan sebagai berikut:</t>
  </si>
  <si>
    <t>Pemasukan dan pembukaan Dokumen Penawaran</t>
  </si>
  <si>
    <t>Pembukaan Dokumen Penawaran, Evaluasi, Klarifikasi Teknis dan Negosiasi Harga</t>
  </si>
  <si>
    <t>Penandatanganan SPK/SPP</t>
  </si>
  <si>
    <t>Apabila Saudara memerlukan keterangan ataupun penjelasan lebih lanjut, dapat menghubungi kami sesuai alamat tersebut di atas sampai dengan batas akhir pemasukan Dokumen Penawaran.</t>
  </si>
  <si>
    <t>Demikian disampaikan untuk diketahui.</t>
  </si>
  <si>
    <t>BERITA ACARA PENJELASAN PEKERJAAN</t>
  </si>
  <si>
    <t>untuk penunjukan langsung</t>
  </si>
  <si>
    <t>Penjelasan Proses Pemilihan Penyedia</t>
  </si>
  <si>
    <t>Penjelasan Pengadaan</t>
  </si>
  <si>
    <t>Dipaparkan kepada penyedia mengenai barang/jasa yang akan diadakan beserta kriteria penerimaannya.</t>
  </si>
  <si>
    <t>Pertanyaan Tambahan</t>
  </si>
  <si>
    <t>Penjelasan Tambahan</t>
  </si>
  <si>
    <t>BERITA ACARA PEMBUKAAN PENAWARAN</t>
  </si>
  <si>
    <t>Peserta yang memasukkan penawaran adalah peserta yang diundang;</t>
  </si>
  <si>
    <t>Berdasarkan pemeriksaan, penawaran yang masuk dinyatakan lengkap dan sah.</t>
  </si>
  <si>
    <t>Demikian Berita Acara ini dibuat dengan penuh tanggung jawab, untuk dapat dipergunakan sebagaimana mestinya.</t>
  </si>
  <si>
    <t>PAKET</t>
  </si>
  <si>
    <t>Rp.</t>
  </si>
  <si>
    <t>UNSUR EVALUASI</t>
  </si>
  <si>
    <t>ISI DOKUMEN</t>
  </si>
  <si>
    <t>MEMENUHI</t>
  </si>
  <si>
    <t>PENAWARAN</t>
  </si>
  <si>
    <t>YA/TIDAK</t>
  </si>
  <si>
    <t>ADMINISTRASI</t>
  </si>
  <si>
    <t>Surat Penawaran</t>
  </si>
  <si>
    <t>a)</t>
  </si>
  <si>
    <t>Jabatan Penandatangan</t>
  </si>
  <si>
    <t>YA</t>
  </si>
  <si>
    <t>Nama Penandatangan</t>
  </si>
  <si>
    <t>b)</t>
  </si>
  <si>
    <t>Harga Penawaran termasuk PPN</t>
  </si>
  <si>
    <t>c)</t>
  </si>
  <si>
    <t>Tanggal penawaran</t>
  </si>
  <si>
    <t>Masa berlaku penawaran</t>
  </si>
  <si>
    <t>d)</t>
  </si>
  <si>
    <t>Jangka waktu pelaksanaan pekerjaan</t>
  </si>
  <si>
    <t>Daftar Kuantitas dan Harga</t>
  </si>
  <si>
    <t>Menyampaikan</t>
  </si>
  <si>
    <t>Dokumen Penawaran Teknis</t>
  </si>
  <si>
    <t>Spesifikasi Teknis</t>
  </si>
  <si>
    <t>Identitas (jenis, tipe, merek</t>
  </si>
  <si>
    <t>Brosur</t>
  </si>
  <si>
    <t>Metode pelaksanaan pekerjaan;</t>
  </si>
  <si>
    <t>e)</t>
  </si>
  <si>
    <t>Deskripsi Varietas dari Kementerian Pertanian</t>
  </si>
  <si>
    <t>f)</t>
  </si>
  <si>
    <t>Surat Rekomendasi Penyalur/Pedagang Benih dari BPSB yang berwenang</t>
  </si>
  <si>
    <t>g)</t>
  </si>
  <si>
    <t>Jadwal Pelaksanaan (Time schedule)</t>
  </si>
  <si>
    <t>h)</t>
  </si>
  <si>
    <t>Surat dukungan Jaminan Supply</t>
  </si>
  <si>
    <t>i)</t>
  </si>
  <si>
    <t>surat penunjukannya sebagai agen/distributor resmi</t>
  </si>
  <si>
    <t>j)</t>
  </si>
  <si>
    <t>Tenaga Teknis</t>
  </si>
  <si>
    <t>k)</t>
  </si>
  <si>
    <t>Peralatan Minimal</t>
  </si>
  <si>
    <t>Layanan purnajual</t>
  </si>
  <si>
    <t>Formulir Isian Kualifikasi</t>
  </si>
  <si>
    <t>TEKNIS</t>
  </si>
  <si>
    <t>Memenuhi</t>
  </si>
  <si>
    <t>brosur barang yang dilampirkan sesuai dengan spesifikasi teknis barang dalam dokumen pengadaan</t>
  </si>
  <si>
    <t>Dalam Kemasan diberikan tanda tulisan  BENIH JAGUNG BANTUAN  PEMERINTAH TAHUN 2018 TIDAK DIPERJUAL BELIKAN</t>
  </si>
  <si>
    <t>Jadwal Waktu Pelaksanaan</t>
  </si>
  <si>
    <t>tidak melebihi jangka waktu sebagaimana tercantum dalam LDP (75  hari kalender)</t>
  </si>
  <si>
    <r>
      <rPr>
        <b/>
        <sz val="11"/>
        <rFont val="Calibri"/>
        <family val="2"/>
        <scheme val="minor"/>
      </rPr>
      <t xml:space="preserve">Surat dukungan Jaminan Supply </t>
    </r>
    <r>
      <rPr>
        <sz val="11"/>
        <rFont val="Calibri"/>
        <family val="2"/>
        <scheme val="minor"/>
      </rPr>
      <t>dari Produsen Pemegang Pendaftaran dan Izin Tetap Benih Jagung  yang ditetapkan oleh Menteri Pertanian RI, dengan melampirkan scan Surat Keputusan tentang Pemegang Pendaftaran dan Izin Tetap Benih Jagung yang ditetapkan oleh Menteri Pertanian RI</t>
    </r>
  </si>
  <si>
    <t>Surat penunjukannya sebagai agen/distributor resmi</t>
  </si>
  <si>
    <t>Daftar Personel</t>
  </si>
  <si>
    <t xml:space="preserve">Tenaga Ahli Pertanian </t>
  </si>
  <si>
    <t>Daftar Peralatan</t>
  </si>
  <si>
    <t xml:space="preserve">Truck/Mobil Box </t>
  </si>
  <si>
    <t>1 unit</t>
  </si>
  <si>
    <t>Gudang Penyimpanan</t>
  </si>
  <si>
    <t>HARGA</t>
  </si>
  <si>
    <t>Total Harga Penawaran</t>
  </si>
  <si>
    <t xml:space="preserve">  Tanda Tangan</t>
  </si>
  <si>
    <t xml:space="preserve">     1.</t>
  </si>
  <si>
    <t xml:space="preserve">     3.</t>
  </si>
  <si>
    <t xml:space="preserve">     5.</t>
  </si>
  <si>
    <t>KUALIFIKASI Administrasi/Legalitas</t>
  </si>
  <si>
    <t>Izin Usaha</t>
  </si>
  <si>
    <t>Bidang Pekerjaan (berdasar KBLI)</t>
  </si>
  <si>
    <t>Masa berlaku s/d</t>
  </si>
  <si>
    <t>7  April 2022</t>
  </si>
  <si>
    <t>TDP/NIB</t>
  </si>
  <si>
    <t>02155485315151AX</t>
  </si>
  <si>
    <t>Perpajakan</t>
  </si>
  <si>
    <t>Status valid keterangan Wajib Pajak</t>
  </si>
  <si>
    <t>Ada dan Sesuai</t>
  </si>
  <si>
    <t>Mempunyai atau menguasai tempat usaha/kantor dengan alamat yang benar, tetap dan jelas berupa milik sendiri atau sewa</t>
  </si>
  <si>
    <t>Kapasitas</t>
  </si>
  <si>
    <t>Akta Pendirian Perusahaan dan/atau perubahannya</t>
  </si>
  <si>
    <t xml:space="preserve">Tanggal </t>
  </si>
  <si>
    <t>Kartu Tanda Penduduk</t>
  </si>
  <si>
    <t>Pakta Integritas</t>
  </si>
  <si>
    <t>Surat Pernyataan</t>
  </si>
  <si>
    <t>yang ditandatangani Peserta yang berisi:</t>
  </si>
  <si>
    <t>yang bersangkutan dan manajemennya tidak dalam pengawasan pengadilan, tidak pailit, dan kegiatan usahanya tidak sedang dihentikan;</t>
  </si>
  <si>
    <t>yang bersangkutan berikut pengurus badan usaha tidak sedang dikenakan sanksi daftar hitam;</t>
  </si>
  <si>
    <t>yang bertindak untuk dan atas nama badan usaha tidak sedang dalam menjalani sanksi pidana; dan</t>
  </si>
  <si>
    <t>pimpinan dan pengurus badan usaha bukan sebagai pegawai Kementerian/ Lembaga/ Perangkat Daerah atau pimpinan dan pengurus badan usaha sebagai pegawai Kementerian/ Lembaga/ Perangkat Daerah yang sedang mengambil cuti diluar tanggungan Negara.</t>
  </si>
  <si>
    <t>KUALIFIKASI Teknis</t>
  </si>
  <si>
    <t>Pengalaman</t>
  </si>
  <si>
    <t>Divisi:</t>
  </si>
  <si>
    <t>Penyediaan barang pada divisi yang sama paling kurang 1 (satu) pekerjaan dalam  kurun waktu 1 (satu) tahun terakhir baik di lingkungan pemerintah maupun swasta, termasuk pengalaman subkontrak</t>
  </si>
  <si>
    <t>Kelompok:</t>
  </si>
  <si>
    <t>Penyediaan barang sekurang-kurangnya dalam kelompok/grup yang sama paling kurang 1 (satu) pekerjaan dalam  kurun waktu 3 (tiga) tahun terakhir baik di lingkungan pemerintah maupun swasta, termasuk pengalaman subkontrak</t>
  </si>
  <si>
    <t>Personel</t>
  </si>
  <si>
    <t>Peralatan</t>
  </si>
  <si>
    <t>BERITA ACARA KLARIFIKASI DAN NEGOSIASI TEKNIS DAN HARGA</t>
  </si>
  <si>
    <t>Hari, Tanggal</t>
  </si>
  <si>
    <t>Harga Negosiasi
(Rp)</t>
  </si>
  <si>
    <t>Penawaran</t>
  </si>
  <si>
    <t>Negosiasi</t>
  </si>
  <si>
    <t>Lingkup kerja yang dibutuhkan oleh Pengguna Jasa telah dipahami dan dapat dipenuhi oleh peserta;</t>
  </si>
  <si>
    <t>Harga yang disepakati untuk pelaksanaan pekerjaan ini sudah termasuk pajak-pajak yang harus dibayar sesuai dengan ketentuan dan perundang-undangan yang berlaku;</t>
  </si>
  <si>
    <t>Rincian hasil negosiasi harga terlampir.</t>
  </si>
  <si>
    <t>K/L/PD</t>
  </si>
  <si>
    <t>Peserta</t>
  </si>
  <si>
    <t>Harga Penawaran</t>
  </si>
  <si>
    <t>Unsur-unsur Yang Dievaluasi</t>
  </si>
  <si>
    <t>Administrasi</t>
  </si>
  <si>
    <t>Memenuhi Syarat</t>
  </si>
  <si>
    <t>Teknis</t>
  </si>
  <si>
    <t>Harga</t>
  </si>
  <si>
    <t>Kualifikasi</t>
  </si>
  <si>
    <t>Lembar kerja evaluasi terlampir</t>
  </si>
  <si>
    <t>Klarifikasi Dan Negosiasi Teknis Dan Harga</t>
  </si>
  <si>
    <t>Klarifikasi Teknis</t>
  </si>
  <si>
    <t>Harga Negosiasi</t>
  </si>
  <si>
    <t>PENETAPAN CALON PENYEDIA</t>
  </si>
  <si>
    <t>pengadaan langsung tidak perlu penetapan</t>
  </si>
  <si>
    <t>ketentuan-ketentuan dalam Peraturan Pengadaan Barang/Jasa;</t>
  </si>
  <si>
    <t>ditetapkan calon penyedia sebagai berikut:</t>
  </si>
  <si>
    <t>Demikian untuk menjadi perhatian.</t>
  </si>
  <si>
    <t>PENGUMUMAN PENETAPAN CALON PENYEDIA</t>
  </si>
  <si>
    <t>pengadaan langsung tidak perlu pengumuman</t>
  </si>
  <si>
    <t>Bersama ini diumumkan calon penyedia untuk paket pekerjaan tersebut di atas sebagai berikut:</t>
  </si>
  <si>
    <t>Kepada</t>
  </si>
  <si>
    <t>Yth.</t>
  </si>
  <si>
    <t>Bismillahirrahmaanirrahiim</t>
  </si>
  <si>
    <t>Assalamu'alaikum waramatullahi wabarakaatuh</t>
  </si>
  <si>
    <t>Selanjutnya sesuai ketentuan, Pejabat Pembuat Komitmen (PPK) dapat melakukan reviu dan menerbitkan Surat Penunjukan Penyedia Barang/Jasa (SPPBJ) kepada perusahaan tersebut di atas.</t>
  </si>
  <si>
    <t>Demikian, atas perhatiannya disampaikan terima kasih.</t>
  </si>
  <si>
    <t>Wassalamu'alaikum waramatullahi wabarakaatuh</t>
  </si>
  <si>
    <t>4. Pertinggal.</t>
  </si>
  <si>
    <t>SURAT PERINTAH PENGIRIMAN (SPP)</t>
  </si>
  <si>
    <t>untuk barang</t>
  </si>
  <si>
    <t>Yang bertandatangan di bawah ini:</t>
  </si>
  <si>
    <t>untuk mengirimkan barang dengan memperhatikan ketentuan-ketentuan sebagai berikut:</t>
  </si>
  <si>
    <t>Total Harga
(Rp)</t>
  </si>
  <si>
    <t>Ket</t>
  </si>
  <si>
    <t>Tanggal barang diterima</t>
  </si>
  <si>
    <t>Syarat-syarat pekerjaan</t>
  </si>
  <si>
    <t>Waktu penyelesaian</t>
  </si>
  <si>
    <t>Alamat pengiriman</t>
  </si>
  <si>
    <t>Denda</t>
  </si>
  <si>
    <t>Menerima dan menyetujui:</t>
  </si>
  <si>
    <t>Pejabat Penandatangan Kontrak</t>
  </si>
  <si>
    <t>BERITA ACARA HASIL PEMERIKSAAN</t>
  </si>
  <si>
    <r>
      <rPr>
        <sz val="11"/>
        <color rgb="FF000000"/>
        <rFont val="Calibri"/>
        <family val="2"/>
      </rPr>
      <t xml:space="preserve">Selanjutnya disebut </t>
    </r>
    <r>
      <rPr>
        <b/>
        <sz val="11"/>
        <color rgb="FF000000"/>
        <rFont val="Calibri"/>
        <family val="2"/>
      </rPr>
      <t>"Pejabat Penandatangan Kontrak"</t>
    </r>
    <r>
      <rPr>
        <sz val="11"/>
        <color rgb="FF000000"/>
        <rFont val="Calibri"/>
        <family val="2"/>
      </rPr>
      <t>.</t>
    </r>
  </si>
  <si>
    <r>
      <rPr>
        <sz val="11"/>
        <color rgb="FF000000"/>
        <rFont val="Calibri"/>
        <family val="2"/>
      </rPr>
      <t xml:space="preserve">Selanjutnya disebut </t>
    </r>
    <r>
      <rPr>
        <b/>
        <sz val="11"/>
        <color rgb="FF000000"/>
        <rFont val="Calibri"/>
        <family val="2"/>
      </rPr>
      <t>"Penyedia"</t>
    </r>
    <r>
      <rPr>
        <sz val="11"/>
        <color rgb="FF000000"/>
        <rFont val="Calibri"/>
        <family val="2"/>
      </rPr>
      <t>.</t>
    </r>
  </si>
  <si>
    <t>Hasil Pemeriksaan</t>
  </si>
  <si>
    <t>Terpasang 100% dan telah diujicoba</t>
  </si>
  <si>
    <t>Demikian Berita Acara ini dibuat dengan sebenarnya agar dapat dipergunakan sebagaimana mestinya.</t>
  </si>
  <si>
    <t>BERITA ACARA SERAH TERIMA (BAST)</t>
  </si>
  <si>
    <r>
      <rPr>
        <sz val="11"/>
        <color rgb="FF000000"/>
        <rFont val="Calibri"/>
        <family val="2"/>
      </rPr>
      <t xml:space="preserve">Dengan ini </t>
    </r>
    <r>
      <rPr>
        <b/>
        <sz val="11"/>
        <color rgb="FF000000"/>
        <rFont val="Calibri"/>
        <family val="2"/>
      </rPr>
      <t>Penyedia</t>
    </r>
    <r>
      <rPr>
        <sz val="11"/>
        <color rgb="FF000000"/>
        <rFont val="Calibri"/>
        <family val="2"/>
      </rPr>
      <t xml:space="preserve"> menyerahkan pekerjaan sesuai persyaratan dalam SPK kepada </t>
    </r>
    <r>
      <rPr>
        <b/>
        <sz val="11"/>
        <color rgb="FF000000"/>
        <rFont val="Calibri"/>
        <family val="2"/>
      </rPr>
      <t>Pejabat Penandatangan Kontrak</t>
    </r>
    <r>
      <rPr>
        <sz val="11"/>
        <color rgb="FF000000"/>
        <rFont val="Calibri"/>
        <family val="2"/>
      </rPr>
      <t xml:space="preserve"> dan </t>
    </r>
    <r>
      <rPr>
        <b/>
        <sz val="11"/>
        <color rgb="FF000000"/>
        <rFont val="Calibri"/>
        <family val="2"/>
      </rPr>
      <t>Pejabat Penandatangan Kontrak</t>
    </r>
    <r>
      <rPr>
        <sz val="11"/>
        <color rgb="FF000000"/>
        <rFont val="Calibri"/>
        <family val="2"/>
      </rPr>
      <t xml:space="preserve"> menyatakan menerima dari </t>
    </r>
    <r>
      <rPr>
        <b/>
        <sz val="11"/>
        <color rgb="FF000000"/>
        <rFont val="Calibri"/>
        <family val="2"/>
      </rPr>
      <t>Penyedia</t>
    </r>
    <r>
      <rPr>
        <sz val="11"/>
        <color rgb="FF000000"/>
        <rFont val="Calibri"/>
        <family val="2"/>
      </rPr>
      <t xml:space="preserve"> hasil pekerjaan sebagai berikut:</t>
    </r>
  </si>
  <si>
    <t>Sebagai tindak lanjut dari Surat Penunjukan Penyedia Barang/Jasa (SPPBJ) ini Saudara diharuskan menandatangani SPK paling lambat 14 (empat belas) hari kerja setelah diterbitkannya SPPBJ. Kegagalan Saudara untuk menerima penunjukan ini yang disusun berdasarkan evaluasi terhadap penawaran Saudara, akan dikenakan sanksi sesuai ketentuan dalam Peraturan Presiden No. 16 Tahun 2018 tentang Pengadaan Barang/Jasa beserta petunjuk teknisnya.</t>
  </si>
  <si>
    <t>BERITA ACARA PENYERAHAN LOKASI PEKERJAAN</t>
  </si>
  <si>
    <t>Tanggung jawab pelaksanaan dan pemeliharaan pekerjaan sebagaimana tersebut dalam pasal 1 yang semula adalah tanggung jawab PPK, maka sejak ditandatangani Berita Acara Penyerahan Lokasi Kerja ini menjadi tanggung jawab Penyedia, baik biaya maupun pelaksanaannya;</t>
  </si>
  <si>
    <t>Penyerahan Lapangan ini berlaku mulai tanggal ditandatangani, sampai dengan diserahkan kembali melalui Berita Acara Penyerahan Lokasi Kerja ini dibuat dengan sebenarnya untuk dapat digunakan sebagaimana mestinya dengan ketentuan bahwa apabila dikemudian hari ternyata terdapat kekeliruan dalam Berita Acara ini akan diubah dan diperbaiki sebagaimana mestinya.</t>
  </si>
  <si>
    <t>Yang menerima,</t>
  </si>
  <si>
    <t>Yang menyerahkan,</t>
  </si>
  <si>
    <t>SURAT PERINTAH MULAI KERJA (SPMK)</t>
  </si>
  <si>
    <t>untuk konstruksi</t>
  </si>
  <si>
    <t>Macam Pekerjaan</t>
  </si>
  <si>
    <t>Nilai SPK</t>
  </si>
  <si>
    <t>Tanggal Mulai Kerja</t>
  </si>
  <si>
    <t>Syarat-syarat Pekerjaan</t>
  </si>
  <si>
    <t>Sesuai dengan persyaratan dan ketentuan dalam SPK</t>
  </si>
  <si>
    <t>besarnya denda yang dikenakan kepada penyedia atas keterlambatan penyelesaian pekerjaan untuk setiap hari keterlambatan adalah 1/1000 (satu perseribu) bagian SPK yang terlambat, sesuai yang ditetapkan dalam syarat-syarat khusus SPK.</t>
  </si>
  <si>
    <t>contoh</t>
  </si>
  <si>
    <t>Kop Penyedia</t>
  </si>
  <si>
    <t>Demikian permohonan kami, atas perhatiannya kami ucapkan terima kasih.</t>
  </si>
  <si>
    <t>Tembusan disampaikan kepada yang terhormat:</t>
  </si>
  <si>
    <t>BERITA ACARA KEMAJUAN PELAKSANAAN PEKERJAAN</t>
  </si>
  <si>
    <t>I.</t>
  </si>
  <si>
    <t>II.</t>
  </si>
  <si>
    <t>Dengan ini menyatakan:</t>
  </si>
  <si>
    <t>Telah mengadakan penelitian dan pemeriksaan atas hasil pekerjaan pelaksanaan untuk  :</t>
  </si>
  <si>
    <t>Unit Kerja</t>
  </si>
  <si>
    <t>SPK</t>
  </si>
  <si>
    <t>Nilai Kontrak</t>
  </si>
  <si>
    <t xml:space="preserve">                                       </t>
  </si>
  <si>
    <r>
      <rPr>
        <sz val="11"/>
        <color theme="1"/>
        <rFont val="Calibri"/>
        <family val="2"/>
        <scheme val="minor"/>
      </rPr>
      <t xml:space="preserve">Pelaksanaan Pekerjaan tersebut di atas telah mencapai kemajuan fisik sebesar </t>
    </r>
    <r>
      <rPr>
        <b/>
        <sz val="11"/>
        <color theme="1"/>
        <rFont val="Calibri"/>
        <family val="2"/>
        <scheme val="minor"/>
      </rPr>
      <t>100% (seratus persen)</t>
    </r>
    <r>
      <rPr>
        <sz val="11"/>
        <color theme="1"/>
        <rFont val="Calibri"/>
        <family val="2"/>
        <scheme val="minor"/>
      </rPr>
      <t>.</t>
    </r>
  </si>
  <si>
    <t>Mengetahui,</t>
  </si>
  <si>
    <t>Disetujui oleh,</t>
  </si>
  <si>
    <t>Dibuat oleh,</t>
  </si>
  <si>
    <t>Kontraktor Pelaksana</t>
  </si>
  <si>
    <t>Konsultan Pengawas</t>
  </si>
  <si>
    <t>Pemeriksaan administratif proses pengadaan barang/jasa sejak perencanaan pengadaan sampai dengan serah terima hasil pekerjaan, meliputi dokumen program/penganggaran, surat penetapan PPK, dokumen perencanaan pengadaan, RUP/SIRUP, dokumen persiapan pengadaan, dokumen pemilihan Penyedia, dokumen Kontrak dan perubahannya serta pengendaliannya, dan dokumen serah terima hasil pekerjaan;</t>
  </si>
  <si>
    <t>Membuat Berita Acara Pemeriksaan Hasil Pekerjaan atas pekerjaan tersebut.</t>
  </si>
  <si>
    <t>3. Pertinggal</t>
  </si>
  <si>
    <t>BERITA ACARA PEMERIKSAAN HASIL PEKERJAAN</t>
  </si>
  <si>
    <t>Paket/Pekerjaan</t>
  </si>
  <si>
    <t>Nomor Kontrak</t>
  </si>
  <si>
    <t>Tanggal Kontrak</t>
  </si>
  <si>
    <t>DAFTAR SIMAK</t>
  </si>
  <si>
    <t>PEMERIKSAAN ADMINISTRASI HASIL PEKERJAAN</t>
  </si>
  <si>
    <t>Jenis Dokumen / Uraian</t>
  </si>
  <si>
    <t>Dokumen Perencanaan Pengadaan meliputi:</t>
  </si>
  <si>
    <t>Rencana Umum Pengadaan</t>
  </si>
  <si>
    <t>þ</t>
  </si>
  <si>
    <t>Ada Dan Lengkap</t>
  </si>
  <si>
    <t>Penyusunan Spesifikasi Teknis/Kak</t>
  </si>
  <si>
    <t>Penyusunan perkiraan biaya/RAB;</t>
  </si>
  <si>
    <t>Pemaketan Pengadaan Barang/Jasa;</t>
  </si>
  <si>
    <t xml:space="preserve">Konsolidasi Pengadaan Barang/Jasa; </t>
  </si>
  <si>
    <t>Penyusunan biaya pendukung</t>
  </si>
  <si>
    <t>Rencana Kerja Anggaran dan Dokumen Pelaksanaan Anggaran (RKA/DPA)</t>
  </si>
  <si>
    <t>Rekening Belanja .........................................</t>
  </si>
  <si>
    <t>¨</t>
  </si>
  <si>
    <t>Tidak Diperlukan</t>
  </si>
  <si>
    <t>Dokumen Persiapan Pengadaan Barang/Jasa meliputi :</t>
  </si>
  <si>
    <t>Penetapan HPS</t>
  </si>
  <si>
    <t>Penetapan rancangan kontrak;</t>
  </si>
  <si>
    <t>Penetapan spesifikasi teknis/KA</t>
  </si>
  <si>
    <t>Penetapan uang muka</t>
  </si>
  <si>
    <t>Penetapan Jaminan uang muka</t>
  </si>
  <si>
    <t xml:space="preserve">Penetapan jaminan pelaksanaan, </t>
  </si>
  <si>
    <t>Penetapan jaminan pemeliharaan</t>
  </si>
  <si>
    <t>Penetapan sertifikat garansi</t>
  </si>
  <si>
    <t>Penetapan penyesuaian harga</t>
  </si>
  <si>
    <t>Dokumen Pelaksanaan Pemilihan</t>
  </si>
  <si>
    <t>Addendum Dokumen Pemilihan</t>
  </si>
  <si>
    <t>Berita Acara Evaluasi Penawaran</t>
  </si>
  <si>
    <t>Berita Acara Evaluasi dan Pembuktian Kualifikasi</t>
  </si>
  <si>
    <t>Surat Penetapan Pemenang</t>
  </si>
  <si>
    <t>Berita Acara Hasil Pemilihan</t>
  </si>
  <si>
    <t>Summary Proses Pemilihan</t>
  </si>
  <si>
    <t>Sanggah dan Jawaban Sanggah</t>
  </si>
  <si>
    <t>Pengaduan dan Jawaban Pengaduan</t>
  </si>
  <si>
    <t>Dokumen Pelaksanaan Kontrak</t>
  </si>
  <si>
    <t>Berita Acara Persiapan Penandatanganan Kontrak/Persiapan Penerbitan SPPBJ</t>
  </si>
  <si>
    <t>ý</t>
  </si>
  <si>
    <t>Dokumen Kontrak/Perjanjian</t>
  </si>
  <si>
    <t>Berita Acara Rapat Persiapan Pelaksanaan Kontrak (PCM)</t>
  </si>
  <si>
    <t>Laporan Harian</t>
  </si>
  <si>
    <t>Laporan Mingguan</t>
  </si>
  <si>
    <t>Laporan Bulanan</t>
  </si>
  <si>
    <t>Dokumen Pengendalian Kontrak/Pekerjaan lainnya......</t>
  </si>
  <si>
    <t>Dokumen Serah Terima Pekerjaan</t>
  </si>
  <si>
    <t>Berita Acara Hasil Pemeriksaan Pertama Pekerjaan (PHO)</t>
  </si>
  <si>
    <t>Rencana Serah Terima Akhir Pekerjaan.</t>
  </si>
  <si>
    <t>Jaminan Pemeliharaan</t>
  </si>
  <si>
    <t>.....................................................................</t>
  </si>
  <si>
    <t>Surat Keputusan Pengguna Anggaran</t>
  </si>
  <si>
    <t>Penetapan KPA</t>
  </si>
  <si>
    <t>Penetapan PPK</t>
  </si>
  <si>
    <t>Penetapan Tim Teknis/Ahli</t>
  </si>
  <si>
    <t xml:space="preserve">Penetapan Gagal Lelang </t>
  </si>
  <si>
    <t>Penetapan Pemenang (diatas 100M)</t>
  </si>
  <si>
    <t>H</t>
  </si>
  <si>
    <t>Surat Penugasan Kuasa Pengguna Anggaran kepada PPK sebagai Pejabat Penandatangan Kontrak.</t>
  </si>
  <si>
    <t>Surat Keputusan PPK terkait Pembentukan Tim Penerima Pekerjaan</t>
  </si>
  <si>
    <t>J</t>
  </si>
  <si>
    <t>Lainnya …..</t>
  </si>
  <si>
    <t>BERITA ACARA SERAH TERIMA PEKERJAAN</t>
  </si>
  <si>
    <t>Jl. Majapahit No.16 Mataram</t>
  </si>
  <si>
    <t>Selanjutnya disebut PPK</t>
  </si>
  <si>
    <t>Kedua belah pihak berdasarkan :</t>
  </si>
  <si>
    <t>Dinas Perumahan dan Permukiman Prov. Nusa Tenggara Barat</t>
  </si>
  <si>
    <t>Demikian Berita Acara Serah Terima Pertama Pekerjaan ini dibuat dan ditandatangani pada hari dan tanggal tersebut di atas di Mataram untuk dapat dipergunakan sebagaimana mestinya.</t>
  </si>
  <si>
    <t>LAMPIRAN RESUME KONTRAK</t>
  </si>
  <si>
    <t>(URAIAN DAN VOLUME PEKERJAAN)</t>
  </si>
  <si>
    <t>Nama Penyedia</t>
  </si>
  <si>
    <t>Lingkup Kegiatan</t>
  </si>
  <si>
    <t>Jumlah Harga 
(Rp)</t>
  </si>
  <si>
    <t>Harga Satuan isi sendiri</t>
  </si>
  <si>
    <t>BERITA ACARA PEMBAYARAN</t>
  </si>
  <si>
    <r>
      <rPr>
        <sz val="11"/>
        <color rgb="FF000000"/>
        <rFont val="Calibri"/>
        <family val="2"/>
      </rPr>
      <t xml:space="preserve">selanjutnya disebut sebagai </t>
    </r>
    <r>
      <rPr>
        <b/>
        <sz val="11"/>
        <color rgb="FF000000"/>
        <rFont val="Calibri"/>
        <family val="2"/>
      </rPr>
      <t>Pejabat Penandatangan Kontrak</t>
    </r>
    <r>
      <rPr>
        <sz val="11"/>
        <color rgb="FF000000"/>
        <rFont val="Calibri"/>
        <family val="2"/>
      </rPr>
      <t>;</t>
    </r>
  </si>
  <si>
    <r>
      <rPr>
        <sz val="11"/>
        <color rgb="FF000000"/>
        <rFont val="Calibri"/>
        <family val="2"/>
      </rPr>
      <t xml:space="preserve">selanjutnya disebut sebagai </t>
    </r>
    <r>
      <rPr>
        <b/>
        <sz val="11"/>
        <color rgb="FF000000"/>
        <rFont val="Calibri"/>
        <family val="2"/>
      </rPr>
      <t>Penyedia</t>
    </r>
    <r>
      <rPr>
        <sz val="11"/>
        <color rgb="FF000000"/>
        <rFont val="Calibri"/>
        <family val="2"/>
      </rPr>
      <t>;</t>
    </r>
  </si>
  <si>
    <t>Penyedia sepakat atas jumlah pembayaran di atas dan dibayar ke rekening:</t>
  </si>
  <si>
    <t>Demikian Berita Acara ini dibuat untuk dapat dipergunakan sebagaimana mestinya.</t>
  </si>
  <si>
    <t>UNTUK PEMERINTAH</t>
  </si>
  <si>
    <t>Lembar Ke</t>
  </si>
  <si>
    <t>1,2,3,4</t>
  </si>
  <si>
    <t>No. Rekening</t>
  </si>
  <si>
    <t>Dibukukan tgl</t>
  </si>
  <si>
    <t>Nomor Buku</t>
  </si>
  <si>
    <t>K U I T A N S I</t>
  </si>
  <si>
    <t>TERIMA DARI</t>
  </si>
  <si>
    <t>BANYAKNYA UANG</t>
  </si>
  <si>
    <t>UNTUK PEMBAYARAN</t>
  </si>
  <si>
    <t>TERBILANG</t>
  </si>
  <si>
    <t>Mengetahui/Menyetujui</t>
  </si>
  <si>
    <t>Lunas dibayar,</t>
  </si>
  <si>
    <t>Yang Menerima Uang,</t>
  </si>
  <si>
    <t>Bendahara Pengeluaran,</t>
  </si>
  <si>
    <t>Barang/Jasa tersebut telah diterima</t>
  </si>
  <si>
    <t>dalam keadaan baik dan cukup.</t>
  </si>
  <si>
    <t>SURAT PERINTAH KERJA</t>
  </si>
  <si>
    <t>(SPK)</t>
  </si>
  <si>
    <t>Paket Pekerjaan:</t>
  </si>
  <si>
    <t>Waktu Pelaksanaan</t>
  </si>
  <si>
    <t>Mulai</t>
  </si>
  <si>
    <t>Selesai</t>
  </si>
  <si>
    <t>PENYEDIA:</t>
  </si>
  <si>
    <t>rupiah</t>
  </si>
  <si>
    <t xml:space="preserve">Sepuluh </t>
  </si>
  <si>
    <t>skor</t>
  </si>
  <si>
    <t>Total HPS</t>
  </si>
  <si>
    <t xml:space="preserve">Satu </t>
  </si>
  <si>
    <t xml:space="preserve">Sebelas </t>
  </si>
  <si>
    <t xml:space="preserve">Dua </t>
  </si>
  <si>
    <t xml:space="preserve">Dua Belas </t>
  </si>
  <si>
    <t xml:space="preserve">Tiga </t>
  </si>
  <si>
    <t xml:space="preserve">Tiga Belas </t>
  </si>
  <si>
    <t xml:space="preserve">Empat </t>
  </si>
  <si>
    <t xml:space="preserve">Empat Belas </t>
  </si>
  <si>
    <t xml:space="preserve">Lima </t>
  </si>
  <si>
    <t xml:space="preserve">Lima Belas </t>
  </si>
  <si>
    <t xml:space="preserve">Enam </t>
  </si>
  <si>
    <t xml:space="preserve">Enam Belas </t>
  </si>
  <si>
    <t xml:space="preserve">Tujuh </t>
  </si>
  <si>
    <t xml:space="preserve">Tujuh Belas </t>
  </si>
  <si>
    <t xml:space="preserve">Delapan </t>
  </si>
  <si>
    <t xml:space="preserve">Delapan Belas </t>
  </si>
  <si>
    <t xml:space="preserve">Sembilan </t>
  </si>
  <si>
    <t xml:space="preserve">Sembilan Belas </t>
  </si>
  <si>
    <t>Harga Nego</t>
  </si>
  <si>
    <t>Harga Kontrak</t>
  </si>
  <si>
    <t>sepuluh</t>
  </si>
  <si>
    <t>masa pelaksanaan</t>
  </si>
  <si>
    <t>satu</t>
  </si>
  <si>
    <t>sebelas</t>
  </si>
  <si>
    <t>dua</t>
  </si>
  <si>
    <t>dua belas</t>
  </si>
  <si>
    <t>tiga</t>
  </si>
  <si>
    <t>tiga belas</t>
  </si>
  <si>
    <t>empat</t>
  </si>
  <si>
    <t>empat belas</t>
  </si>
  <si>
    <t>lima</t>
  </si>
  <si>
    <t>lima belas</t>
  </si>
  <si>
    <t>enam</t>
  </si>
  <si>
    <t>enam belas</t>
  </si>
  <si>
    <t>tujuh</t>
  </si>
  <si>
    <t>tujuh belas</t>
  </si>
  <si>
    <t>delapan</t>
  </si>
  <si>
    <t>delapan belas</t>
  </si>
  <si>
    <t>sembilan</t>
  </si>
  <si>
    <t>sembilan belas</t>
  </si>
  <si>
    <t>masa pemeliharaan</t>
  </si>
  <si>
    <t>uang muka</t>
  </si>
  <si>
    <t>HPS di PPK.Lamp</t>
  </si>
  <si>
    <t>Total + PPN (Pembulatan)</t>
  </si>
  <si>
    <t>PPN</t>
  </si>
  <si>
    <t>Resume kontrak</t>
  </si>
  <si>
    <t>Resume Kontrak</t>
  </si>
  <si>
    <t>027.3/18/BA.PBY/BPKAD/2024</t>
  </si>
  <si>
    <t>027.3/19/BA.PBY/BPKAD/2024</t>
  </si>
  <si>
    <t>Selaku Pengguna Anggaran</t>
  </si>
  <si>
    <t>Pejabat Pembuat Komitmen</t>
  </si>
  <si>
    <t>[untuk usaha kecil maks: 30% / min 50% / min: 30%]</t>
  </si>
  <si>
    <t>Daftar dokumen yang harus dilengkapi pada saat acara Pemeriksaan Hasil Pekerjaan sebagai berikut:</t>
  </si>
  <si>
    <t>hanya jika ada PjPHP/PPHP</t>
  </si>
  <si>
    <t>Kalau ada PPHP!</t>
  </si>
  <si>
    <t>Berdasarkan Syarat-syarat Umum Surat Perintah Kerja (SPK), dapat  diadakan Serah Terima Hasil Pekerjaan atas hasil Pekerjaan tersebut dimaksud.</t>
  </si>
  <si>
    <t>Team Leader</t>
  </si>
  <si>
    <t>diisi kalau ada 
penugasan khusus 
tim pendukung,
PPTK, PjPHP, PPHP</t>
  </si>
  <si>
    <t>Pejabat Pemeriksa Hasil Pekerjaan</t>
  </si>
  <si>
    <t>RINGKASAN KONTRAK / RESUME KONTRAK</t>
  </si>
  <si>
    <t>APBD PROVINSI NUSA TENGGARA BARAT TA. 2025</t>
  </si>
  <si>
    <t>VII.</t>
  </si>
  <si>
    <t>DATA KEGIATAN</t>
  </si>
  <si>
    <t>NAMA KEGIATAN</t>
  </si>
  <si>
    <t>KODE  KEGIATAN</t>
  </si>
  <si>
    <t>PEJABAT PELAKSANA TEKNIS KEGIATAN</t>
  </si>
  <si>
    <t>NAMA</t>
  </si>
  <si>
    <t>PANGKAT/GOL. RUANG</t>
  </si>
  <si>
    <t>JABATAN</t>
  </si>
  <si>
    <t>PEJABAT PEMBUAT KOMITMEN</t>
  </si>
  <si>
    <t>DATA PAKET PEKERJAAN</t>
  </si>
  <si>
    <t>NAMA PAKET PEKERJAAN</t>
  </si>
  <si>
    <t>KODE REKENING</t>
  </si>
  <si>
    <t>ANGGARAN PAKET PEKERJAAN</t>
  </si>
  <si>
    <t>III.</t>
  </si>
  <si>
    <t>DATA PENYEDIA BARANG/JASA</t>
  </si>
  <si>
    <t>ALAMAT PENYEDIA</t>
  </si>
  <si>
    <t>NOMOR REKENING BANK</t>
  </si>
  <si>
    <t>IV.</t>
  </si>
  <si>
    <t>DATA KONTRAK AWAL</t>
  </si>
  <si>
    <t>NOMOR</t>
  </si>
  <si>
    <t>MASA PELAKSANAAN</t>
  </si>
  <si>
    <t>TANGGAL SERAH TERIMA I</t>
  </si>
  <si>
    <t>TANGGAL SERAH TERIMA II</t>
  </si>
  <si>
    <t>MASA PEMELIHARAAN</t>
  </si>
  <si>
    <t>KEMAJUAN FISIK</t>
  </si>
  <si>
    <t>DATA ADENDUM KONTRAK</t>
  </si>
  <si>
    <t>V.</t>
  </si>
  <si>
    <t>DATA JAMINAN</t>
  </si>
  <si>
    <t>NO &amp; TGL JAMINAN PELAKSANAAN</t>
  </si>
  <si>
    <t>NO &amp; TGL JAMINAN UANG MUKA</t>
  </si>
  <si>
    <t>NO &amp; TGL JAMINAN PEMELIHARAAN</t>
  </si>
  <si>
    <t>VI.</t>
  </si>
  <si>
    <t>BULAN KE</t>
  </si>
  <si>
    <t>TERMIN KE</t>
  </si>
  <si>
    <t>SEKALIGUS</t>
  </si>
  <si>
    <t>INFORMASI PEMBAYARAN</t>
  </si>
  <si>
    <t>NILAI PEMBAYARAN S/D BAP YANG LALU</t>
  </si>
  <si>
    <t>NILAI PEKERJAAN BAP INI</t>
  </si>
  <si>
    <t>SISA BELUM DIBAYAR</t>
  </si>
  <si>
    <t>Form PL-2025.11.26</t>
  </si>
  <si>
    <t>Bank NTB Syariah</t>
  </si>
  <si>
    <t>TANGGAL SERAH TERIMA AWAL</t>
  </si>
  <si>
    <t>Renc Serah Terima</t>
  </si>
  <si>
    <t>7</t>
  </si>
  <si>
    <t>NILAI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</si>
</sst>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4">
    <numFmt numFmtId="41" formatCode="_-* #,##0_-;\-* #,##0_-;_-* &quot;-&quot;_-;_-@_-"/>
    <numFmt numFmtId="43" formatCode="_-* #,##0.00_-;\-* #,##0.00_-;_-* &quot;-&quot;??_-;_-@_-"/>
    <numFmt numFmtId="164" formatCode="\##,##0;[Red]&quot;\\-&quot;#,##0"/>
    <numFmt numFmtId="165" formatCode="#,##0.00_);[Red]\(#,##0.00\)"/>
    <numFmt numFmtId="166" formatCode="#,##0_);[Red]\(#,##0\)"/>
    <numFmt numFmtId="167" formatCode="_-* #,##0_-;\-* #,##0_-;_-* \-_-;_-@_-"/>
    <numFmt numFmtId="168" formatCode="#."/>
    <numFmt numFmtId="169" formatCode="#,##0.00_);\(#,##0.00\)"/>
    <numFmt numFmtId="170" formatCode="0.000"/>
    <numFmt numFmtId="171" formatCode="00\+000"/>
    <numFmt numFmtId="172" formatCode="#,##0.00\ _$;\-#,##0.00\ _$"/>
    <numFmt numFmtId="173" formatCode="_(* #,##0_);_(* \(#,##0\);_(* &quot;-&quot;_);_(@_)"/>
    <numFmt numFmtId="174" formatCode="_(* #,##0.00_);_(* \(#,##0.00\);_(* &quot;-&quot;??_);_(@_)"/>
    <numFmt numFmtId="175" formatCode="_([$Rp-421]* #,##0.00_);_([$Rp-421]* \(#,##0.00\);_([$Rp-421]* &quot;-&quot;??_);_(@_)"/>
    <numFmt numFmtId="176" formatCode="#,##0.00\ &quot;Pts&quot;;[Red]\-#,##0.00\ &quot;Pts&quot;"/>
    <numFmt numFmtId="177" formatCode="_-* #,##0\ _P_t_s_-;\-* #,##0\ _P_t_s_-;_-* &quot;-&quot;\ _P_t_s_-;_-@_-"/>
    <numFmt numFmtId="178" formatCode="_-* #,##0\ &quot;Pts&quot;_-;\-* #,##0\ &quot;Pts&quot;_-;_-* &quot;-&quot;\ &quot;Pts&quot;_-;_-@_-"/>
    <numFmt numFmtId="179" formatCode="_-* #,##0.00\ &quot;Pts&quot;_-;\-* #,##0.00\ &quot;Pts&quot;_-;_-* &quot;-&quot;??\ &quot;Pts&quot;_-;_-@_-"/>
    <numFmt numFmtId="180" formatCode="&quot;$&quot;#,##0.00_);\(&quot;$&quot;#.##0\)"/>
    <numFmt numFmtId="181" formatCode="#,##0_);\(#,##0\)"/>
    <numFmt numFmtId="182" formatCode="&quot;2-&quot;#,##0"/>
    <numFmt numFmtId="183" formatCode="0.00_)"/>
    <numFmt numFmtId="184" formatCode="\$#,##0\ ;\(\$#,##0\)"/>
    <numFmt numFmtId="185" formatCode="#,##0.0000"/>
    <numFmt numFmtId="186" formatCode="_(* #,##0.0_);_(* \(#,##0.0\);_(* &quot;-&quot;??_);_(@_)"/>
    <numFmt numFmtId="187" formatCode="_(* #,##0_);_(* \(#,##0\);_(* &quot;-&quot;??_);_(@_)"/>
    <numFmt numFmtId="188" formatCode="_(* #.##0.00_);_(* \(#.##0.00\);_(* &quot;-&quot;??_);_(@_)"/>
    <numFmt numFmtId="189" formatCode="0.0000"/>
    <numFmt numFmtId="190" formatCode="&quot;Rp&quot;#,##0\ ;\(&quot;Rp&quot;#,##0\)"/>
    <numFmt numFmtId="191" formatCode="_-* #,##0.00_-;_-* #,##0.00\-;_-* &quot;-&quot;??_-;_-@_-"/>
    <numFmt numFmtId="192" formatCode="0.000000"/>
    <numFmt numFmtId="193" formatCode="0_)"/>
    <numFmt numFmtId="194" formatCode="&quot;Rp&quot;#,##0_);[Red]\(&quot;Rp&quot;#,##0\)"/>
    <numFmt numFmtId="195" formatCode="_-* #,##0.000000000_-;\-* #,##0.000000000_-;_-* &quot;-&quot;??_-;_-@_-"/>
    <numFmt numFmtId="196" formatCode="_(* #,##0.00_);_(* \(#,##0.00\);_(* \-??_);_(@_)"/>
    <numFmt numFmtId="197" formatCode="0###0"/>
    <numFmt numFmtId="198" formatCode="_(&quot;Rp&quot;* #,##0_);_(&quot;Rp&quot;* \(#,##0\);_(&quot;Rp&quot;* &quot;-&quot;_);_(@_)"/>
    <numFmt numFmtId="199" formatCode="_-* #,##0.00_-;\-* #,##0.00_-;_-* &quot;-&quot;_-;_-@_-"/>
    <numFmt numFmtId="200" formatCode="_(* #,##0.000_);_(* \(#,##0.000\);_(* &quot;-&quot;_);_(@_)"/>
    <numFmt numFmtId="201" formatCode="_(&quot;$&quot;* #,##0_);_(&quot;$&quot;* \(#,##0\);_(&quot;$&quot;* &quot;-&quot;_);_(@_)"/>
    <numFmt numFmtId="202" formatCode="_(* #,##0.0_);_(* \(#,##0.0\);_(* &quot;-&quot;_);_(@_)"/>
    <numFmt numFmtId="203" formatCode="d\ mmmm\ yyyy"/>
    <numFmt numFmtId="204" formatCode="#,##0\ &quot;FB&quot;;\-#,##0\ &quot;FB&quot;"/>
    <numFmt numFmtId="205" formatCode="&quot;$&quot;#,##0.00_);[Red]\(&quot;$&quot;#,##0.00\)"/>
    <numFmt numFmtId="206" formatCode="_(&quot;Rp&quot;* #,##0.00_);_(&quot;Rp&quot;* \(#,##0.00\);_(&quot;Rp&quot;* &quot;-&quot;??_);_(@_)"/>
    <numFmt numFmtId="207" formatCode="_(&quot;$&quot;* #,##0.00_);_(&quot;$&quot;* \(#,##0.00\);_(&quot;$&quot;* &quot;-&quot;??_);_(@_)"/>
    <numFmt numFmtId="208" formatCode="_([$Rp. -421]* #,##0.00_);_([$Rp-421]* \(#,##0.00\);_([$Rp-421]* &quot;-&quot;??_);_(@_)"/>
    <numFmt numFmtId="209" formatCode="General_)"/>
    <numFmt numFmtId="210" formatCode="#,##0.00\ &quot;Esc.&quot;;[Red]\-#,##0.00\ &quot;Esc.&quot;"/>
    <numFmt numFmtId="211" formatCode="#,##0_);[Red]\(#,##0\);;@"/>
    <numFmt numFmtId="212" formatCode="_-* #,##0_-;_-* #,##0\-;_-* &quot;-&quot;_-;_-@_-"/>
    <numFmt numFmtId="213" formatCode="_([$€-2]* #,##0.00_);_([$€-2]* \(#,##0.00\);_([$€-2]* &quot;-&quot;??_)"/>
    <numFmt numFmtId="214" formatCode="_([$€]* #,##0.00_);_([$€]* \(#,##0.00\);_([$€]* \-??_);_(@_)"/>
    <numFmt numFmtId="215" formatCode="0&quot; Hr&quot;"/>
    <numFmt numFmtId="216" formatCode="#,##0\ &quot;Esc.&quot;;[Red]\-#,##0\ &quot;Esc.&quot;"/>
    <numFmt numFmtId="217" formatCode="General\ ;[Red]\(General\)"/>
    <numFmt numFmtId="218" formatCode="0.000%"/>
    <numFmt numFmtId="219" formatCode="#,##0.00\ &quot;Esc.&quot;;\-#,##0.00\ &quot;Esc.&quot;"/>
    <numFmt numFmtId="220" formatCode="0.0%;[Red]\(0.0%\)"/>
    <numFmt numFmtId="221" formatCode="#,##0.0_);[Red]\(#,##0.0\)"/>
    <numFmt numFmtId="222" formatCode="&quot;Rp&quot;#,##0.00_);[Red]\(&quot;Rp&quot;#,##0.00\)"/>
    <numFmt numFmtId="223" formatCode="_-* #,##0.00\ &quot;Esc.&quot;_-;\-* #,##0.00\ &quot;Esc.&quot;_-;_-* &quot;-&quot;??\ &quot;Esc.&quot;_-;_-@_-"/>
    <numFmt numFmtId="224" formatCode="#,##0.000_);[Red]\(#,##0.000\)"/>
    <numFmt numFmtId="225" formatCode="_(* #,##0.00_);_(* \(#,##0.00\);_(* &quot;-&quot;_);_(@_)"/>
    <numFmt numFmtId="226" formatCode="#,##0.0000_);\(#,##0.0000\)"/>
    <numFmt numFmtId="227" formatCode="_(* #,##0.000_);_(* \(#,##0.000\);_(* &quot;-&quot;??_);_(@_)"/>
    <numFmt numFmtId="228" formatCode="_(* #,##0_);_(* \(#,##0\);_(* &quot;-&quot;???_);_(@_)"/>
    <numFmt numFmtId="229" formatCode="_-* #,##0.00\ _E_s_c_._-;\-* #,##0.00\ _E_s_c_._-;_-* &quot;-&quot;??\ _E_s_c_._-;_-@_-"/>
    <numFmt numFmtId="230" formatCode="_(&quot;$&quot;* #,##0.000_);_(&quot;$&quot;* \(#,##0.000\);_(&quot;$&quot;* &quot;-&quot;??_);_(@_)"/>
    <numFmt numFmtId="231" formatCode="0.0000000%"/>
    <numFmt numFmtId="232" formatCode="_-* #,##0\ _E_s_c_._-;\-* #,##0\ _E_s_c_._-;_-* &quot;-&quot;\ _E_s_c_._-;_-@_-"/>
    <numFmt numFmtId="233" formatCode="0.0000000000"/>
    <numFmt numFmtId="234" formatCode="mm/dd/yy"/>
    <numFmt numFmtId="235" formatCode="#,##0.00&quot;  &quot;"/>
    <numFmt numFmtId="236" formatCode="_ * #,##0_ ;_ * \-#,##0_ ;_ * \-??_ ;_ @_ "/>
    <numFmt numFmtId="237" formatCode="_ * #,##0_ ;_ * \-#,##0_ ;_ * &quot;-&quot;??_ ;_ @_ "/>
    <numFmt numFmtId="238" formatCode="#,##0.00\ \ "/>
    <numFmt numFmtId="239" formatCode="#,##0.00\ "/>
    <numFmt numFmtId="240" formatCode="0##0"/>
    <numFmt numFmtId="241" formatCode="_-&quot;$&quot;* #,##0_-;\-&quot;$&quot;* #,##0_-;_-&quot;$&quot;* &quot;-&quot;_-;_-@_-"/>
    <numFmt numFmtId="242" formatCode="0&quot;    &quot;"/>
    <numFmt numFmtId="243" formatCode="#,##0.00&quot;   &quot;"/>
    <numFmt numFmtId="244" formatCode="_-&quot;F&quot;\ * #,##0_-;_-&quot;F&quot;\ * #,##0\-;_-&quot;F&quot;\ * &quot;-&quot;_-;_-@_-"/>
    <numFmt numFmtId="245" formatCode="_-&quot;F&quot;\ * #,##0.00_-;_-&quot;F&quot;\ * #,##0.00\-;_-&quot;F&quot;\ * &quot;-&quot;??_-;_-@_-"/>
    <numFmt numFmtId="246" formatCode="_-&quot;$&quot;* #,##0.00_-;\-&quot;$&quot;* #,##0.00_-;_-&quot;$&quot;* &quot;-&quot;??_-;_-@_-"/>
    <numFmt numFmtId="247" formatCode="&quot;\&quot;#,##0;[Red]&quot;\&quot;&quot;\&quot;\-#,##0"/>
    <numFmt numFmtId="248" formatCode="&quot;\&quot;#,##0.00;[Red]&quot;\&quot;&quot;\&quot;&quot;\&quot;&quot;\&quot;&quot;\&quot;&quot;\&quot;\-#,##0.00"/>
    <numFmt numFmtId="249" formatCode="&quot;\&quot;#,##0.00;[Red]&quot;\&quot;\-#,##0.00"/>
    <numFmt numFmtId="250" formatCode="&quot;\&quot;#,##0;[Red]&quot;\&quot;\-#,##0"/>
    <numFmt numFmtId="251" formatCode="&quot;Rp. &quot;#,##0_);\(&quot;Rp. &quot;#,##0\)"/>
    <numFmt numFmtId="252" formatCode="_(* #,###_);_(* &quot;&quot;_)"/>
    <numFmt numFmtId="253" formatCode="_(* #,##0;_(* \(#,##0\);_(* &quot;&quot;???;_(@"/>
    <numFmt numFmtId="254" formatCode="_(* #,##0_);_(* \(#,##0\);_(* &quot;&quot;_)"/>
    <numFmt numFmtId="255" formatCode="* #,##0;* \(#,##0\);* &quot;&quot;??;@_)"/>
    <numFmt numFmtId="256" formatCode="&quot;Rp. &quot;#,##0.00"/>
    <numFmt numFmtId="257" formatCode="&quot;PPN&quot;\ 0%"/>
    <numFmt numFmtId="258" formatCode="#,##0.00;[Red]#,##0.00"/>
    <numFmt numFmtId="259" formatCode="&quot;Rp. &quot;#,##0"/>
    <numFmt numFmtId="260" formatCode="#,##0\ &quot;hari kalender&quot;"/>
    <numFmt numFmtId="261" formatCode="&quot;Rp. &quot;#,##0_);\(&quot;Rp&quot;#,##0\)"/>
    <numFmt numFmtId="262" formatCode="&quot;Rp. &quot;#,##0;\(&quot;Rp. &quot;#,##0\)"/>
    <numFmt numFmtId="263" formatCode="&quot;: Rp. &quot;#,##0"/>
    <numFmt numFmtId="264" formatCode="[$-21]dddd\,\ dd\ mmmm\ yyyy"/>
    <numFmt numFmtId="265" formatCode="&quot;Rp. &quot;#,##0;\-&quot;Rp&quot;#,##0"/>
    <numFmt numFmtId="266" formatCode="[$-21]dd\ mmmm\ yyyy"/>
    <numFmt numFmtId="267" formatCode="[$-21]d\ mmmm\ yyyy"/>
    <numFmt numFmtId="268" formatCode="[$-21]d\ mmmm\ yyyy\,\ hh:mm\ &quot;WITA&quot;"/>
    <numFmt numFmtId="269" formatCode="[$-421]dddd\,\ dd\ mmmm\ yyyy"/>
    <numFmt numFmtId="270" formatCode="_-* #,##0_-;\-* #,##0_-;_-* &quot;-&quot;??_-;_-@_-"/>
    <numFmt numFmtId="271" formatCode="_(* #,##0;_(* \(#,##0\);_(* &quot;-&quot;???;_(@"/>
    <numFmt numFmtId="272" formatCode="_([$Rp-421]* #,##0_);_([$Rp-421]* \(#,##0\);_([$Rp-421]* &quot;-&quot;_);_(@_)"/>
    <numFmt numFmtId="273" formatCode="[$-421]d\ mmmm\ yyyy;@"/>
    <numFmt numFmtId="274" formatCode="* #,##0.00;* \(#,##0.00\);* &quot;&quot;??;@_)"/>
    <numFmt numFmtId="275" formatCode="[$-421]dd\ mmmm\ yyyy;@"/>
  </numFmts>
  <fonts count="236">
    <font>
      <sz val="10"/>
      <name val="Arial"/>
      <charset val="134"/>
    </font>
    <font>
      <sz val="10"/>
      <color theme="1"/>
      <name val="Arial"/>
      <family val="2"/>
    </font>
    <font>
      <sz val="11"/>
      <name val="Calibri"/>
      <family val="2"/>
      <scheme val="minor"/>
    </font>
    <font>
      <b/>
      <sz val="14"/>
      <name val="Tahoma"/>
      <family val="2"/>
    </font>
    <font>
      <b/>
      <sz val="30"/>
      <name val="Tahoma"/>
      <family val="2"/>
    </font>
    <font>
      <sz val="10"/>
      <name val="Tahoma"/>
      <family val="2"/>
    </font>
    <font>
      <b/>
      <u/>
      <sz val="14"/>
      <color rgb="FF000000"/>
      <name val="Calibri"/>
      <family val="2"/>
    </font>
    <font>
      <b/>
      <sz val="28"/>
      <color rgb="FF000000"/>
      <name val="Colonna MT"/>
      <family val="5"/>
    </font>
    <font>
      <b/>
      <sz val="28"/>
      <name val="Colonna MT"/>
      <family val="5"/>
    </font>
    <font>
      <sz val="14"/>
      <color rgb="FF000000"/>
      <name val="Calibri"/>
      <family val="2"/>
    </font>
    <font>
      <sz val="14"/>
      <name val="Calibri"/>
      <family val="2"/>
      <scheme val="minor"/>
    </font>
    <font>
      <sz val="16"/>
      <color rgb="FF000000"/>
      <name val="Britannic Bold"/>
      <family val="2"/>
    </font>
    <font>
      <sz val="11"/>
      <color rgb="FF000000"/>
      <name val="Calibri"/>
      <family val="2"/>
    </font>
    <font>
      <b/>
      <sz val="11"/>
      <name val="Calibri"/>
      <family val="2"/>
      <scheme val="minor"/>
    </font>
    <font>
      <b/>
      <u/>
      <sz val="11"/>
      <name val="Calibri"/>
      <family val="2"/>
      <scheme val="minor"/>
    </font>
    <font>
      <b/>
      <sz val="30"/>
      <name val="Bernard MT Condensed"/>
      <family val="1"/>
    </font>
    <font>
      <b/>
      <u/>
      <sz val="14"/>
      <color rgb="FF000000"/>
      <name val="Calibri"/>
      <family val="2"/>
      <scheme val="minor"/>
    </font>
    <font>
      <sz val="11"/>
      <color rgb="FF000000"/>
      <name val="Calibri"/>
      <family val="2"/>
      <scheme val="minor"/>
    </font>
    <font>
      <b/>
      <sz val="16"/>
      <name val="Calibri"/>
      <family val="2"/>
      <scheme val="minor"/>
    </font>
    <font>
      <sz val="11"/>
      <color rgb="FFFFFF00"/>
      <name val="Calibri"/>
      <family val="2"/>
      <scheme val="minor"/>
    </font>
    <font>
      <b/>
      <u/>
      <sz val="11"/>
      <color rgb="FF000000"/>
      <name val="Calibri"/>
      <family val="2"/>
      <scheme val="minor"/>
    </font>
    <font>
      <u/>
      <sz val="11"/>
      <color theme="10"/>
      <name val="Calibri"/>
      <family val="2"/>
      <scheme val="minor"/>
    </font>
    <font>
      <b/>
      <sz val="11"/>
      <color rgb="FF000000"/>
      <name val="Calibri"/>
      <family val="2"/>
    </font>
    <font>
      <sz val="10"/>
      <name val="Calibri"/>
      <family val="2"/>
      <scheme val="minor"/>
    </font>
    <font>
      <b/>
      <sz val="10"/>
      <name val="Calibri"/>
      <family val="2"/>
      <scheme val="minor"/>
    </font>
    <font>
      <sz val="11"/>
      <color theme="1"/>
      <name val="Calibri"/>
      <family val="2"/>
      <scheme val="minor"/>
    </font>
    <font>
      <sz val="10"/>
      <color theme="1"/>
      <name val="Trebuchet MS"/>
      <family val="2"/>
    </font>
    <font>
      <b/>
      <u/>
      <sz val="14"/>
      <color theme="1"/>
      <name val="Calibri"/>
      <family val="2"/>
      <scheme val="minor"/>
    </font>
    <font>
      <u/>
      <sz val="11"/>
      <color theme="1"/>
      <name val="Calibri"/>
      <family val="2"/>
      <scheme val="minor"/>
    </font>
    <font>
      <sz val="11"/>
      <color theme="1"/>
      <name val="Trebuchet MS"/>
      <family val="2"/>
    </font>
    <font>
      <u/>
      <sz val="11"/>
      <color rgb="FF800080"/>
      <name val="Calibri"/>
      <family val="2"/>
      <scheme val="minor"/>
    </font>
    <font>
      <b/>
      <sz val="14"/>
      <color rgb="FF000000"/>
      <name val="Calibri"/>
      <family val="2"/>
      <scheme val="minor"/>
    </font>
    <font>
      <sz val="11"/>
      <color rgb="FF000000"/>
      <name val="Wingdings"/>
      <charset val="2"/>
    </font>
    <font>
      <u/>
      <sz val="11"/>
      <color rgb="FF000000"/>
      <name val="Calibri"/>
      <family val="2"/>
    </font>
    <font>
      <b/>
      <u/>
      <sz val="11"/>
      <color rgb="FF000000"/>
      <name val="Calibri"/>
      <family val="2"/>
    </font>
    <font>
      <u/>
      <sz val="11"/>
      <name val="Calibri"/>
      <family val="2"/>
      <scheme val="minor"/>
    </font>
    <font>
      <b/>
      <sz val="11"/>
      <color theme="1"/>
      <name val="Calibri"/>
      <family val="2"/>
      <scheme val="minor"/>
    </font>
    <font>
      <sz val="11"/>
      <color indexed="8"/>
      <name val="Calibri"/>
      <family val="2"/>
      <scheme val="minor"/>
    </font>
    <font>
      <b/>
      <sz val="11"/>
      <color indexed="8"/>
      <name val="Calibri"/>
      <family val="2"/>
      <scheme val="minor"/>
    </font>
    <font>
      <b/>
      <i/>
      <sz val="11"/>
      <name val="Calibri"/>
      <family val="2"/>
      <scheme val="minor"/>
    </font>
    <font>
      <sz val="11"/>
      <name val="Arial"/>
      <family val="2"/>
    </font>
    <font>
      <b/>
      <i/>
      <sz val="16"/>
      <name val="Copperplate Gothic Bold"/>
      <family val="2"/>
    </font>
    <font>
      <b/>
      <sz val="16"/>
      <name val="Arial"/>
      <family val="2"/>
    </font>
    <font>
      <b/>
      <sz val="11"/>
      <name val="Arial"/>
      <family val="2"/>
    </font>
    <font>
      <b/>
      <sz val="10"/>
      <name val="Arial"/>
      <family val="2"/>
    </font>
    <font>
      <sz val="12"/>
      <name val="Tahoma"/>
      <family val="2"/>
    </font>
    <font>
      <b/>
      <sz val="12"/>
      <name val="Tahoma"/>
      <family val="2"/>
    </font>
    <font>
      <b/>
      <sz val="11"/>
      <name val="Tahoma"/>
      <family val="2"/>
    </font>
    <font>
      <b/>
      <sz val="14"/>
      <name val="Calibri"/>
      <family val="2"/>
      <scheme val="minor"/>
    </font>
    <font>
      <sz val="11"/>
      <color theme="0"/>
      <name val="Calibri"/>
      <family val="2"/>
      <scheme val="minor"/>
    </font>
    <font>
      <sz val="11"/>
      <color indexed="8"/>
      <name val="Arial"/>
      <family val="2"/>
    </font>
    <font>
      <sz val="12"/>
      <color theme="1"/>
      <name val="Calibri"/>
      <family val="2"/>
      <scheme val="minor"/>
    </font>
    <font>
      <b/>
      <sz val="14"/>
      <color theme="1"/>
      <name val="Calibri"/>
      <family val="2"/>
      <scheme val="minor"/>
    </font>
    <font>
      <b/>
      <sz val="11"/>
      <color theme="1"/>
      <name val="Wingdings"/>
      <charset val="2"/>
    </font>
    <font>
      <b/>
      <sz val="12"/>
      <color theme="1"/>
      <name val="Calibri"/>
      <family val="2"/>
      <scheme val="minor"/>
    </font>
    <font>
      <b/>
      <sz val="12"/>
      <color rgb="FFFF0000"/>
      <name val="Calibri"/>
      <family val="2"/>
      <scheme val="minor"/>
    </font>
    <font>
      <b/>
      <u/>
      <sz val="12"/>
      <color theme="1"/>
      <name val="Calibri"/>
      <family val="2"/>
      <scheme val="minor"/>
    </font>
    <font>
      <u/>
      <sz val="12"/>
      <color theme="1"/>
      <name val="Calibri"/>
      <family val="2"/>
      <scheme val="minor"/>
    </font>
    <font>
      <sz val="12"/>
      <color rgb="FFFFFF00"/>
      <name val="Calibri"/>
      <family val="2"/>
      <scheme val="minor"/>
    </font>
    <font>
      <b/>
      <sz val="24"/>
      <name val="Bernard MT Condensed"/>
      <family val="1"/>
    </font>
    <font>
      <b/>
      <sz val="12"/>
      <color rgb="FFFFFF00"/>
      <name val="Calibri"/>
      <family val="2"/>
      <scheme val="minor"/>
    </font>
    <font>
      <b/>
      <sz val="11"/>
      <color rgb="FFFFFF00"/>
      <name val="Calibri"/>
      <family val="2"/>
      <scheme val="minor"/>
    </font>
    <font>
      <b/>
      <sz val="14"/>
      <color rgb="FFFFFF00"/>
      <name val="Calibri"/>
      <family val="2"/>
      <scheme val="minor"/>
    </font>
    <font>
      <i/>
      <sz val="11"/>
      <color rgb="FFFFFF00"/>
      <name val="Calibri"/>
      <family val="2"/>
      <scheme val="minor"/>
    </font>
    <font>
      <b/>
      <sz val="30"/>
      <name val="Calibri"/>
      <family val="2"/>
      <scheme val="minor"/>
    </font>
    <font>
      <sz val="30"/>
      <name val="Bernard MT Condensed"/>
      <family val="1"/>
    </font>
    <font>
      <i/>
      <sz val="11"/>
      <color theme="1"/>
      <name val="Calibri"/>
      <family val="2"/>
      <scheme val="minor"/>
    </font>
    <font>
      <b/>
      <u/>
      <sz val="11"/>
      <color theme="1"/>
      <name val="Calibri"/>
      <family val="2"/>
      <scheme val="minor"/>
    </font>
    <font>
      <b/>
      <sz val="30"/>
      <name val="Bahnschrift SemiBold Condensed"/>
      <family val="2"/>
    </font>
    <font>
      <sz val="10"/>
      <color theme="9" tint="-0.249977111117893"/>
      <name val="Arial"/>
      <family val="2"/>
    </font>
    <font>
      <b/>
      <u/>
      <sz val="16"/>
      <color theme="1"/>
      <name val="Calibri"/>
      <family val="2"/>
      <scheme val="minor"/>
    </font>
    <font>
      <b/>
      <sz val="30"/>
      <color theme="1"/>
      <name val="Tahoma"/>
      <family val="2"/>
    </font>
    <font>
      <i/>
      <sz val="11"/>
      <name val="Calibri"/>
      <family val="2"/>
      <scheme val="minor"/>
    </font>
    <font>
      <sz val="11"/>
      <color rgb="FFC00000"/>
      <name val="Calibri"/>
      <family val="2"/>
      <scheme val="minor"/>
    </font>
    <font>
      <sz val="11"/>
      <color theme="9" tint="-0.249977111117893"/>
      <name val="Calibri"/>
      <family val="2"/>
      <scheme val="minor"/>
    </font>
    <font>
      <sz val="10"/>
      <color theme="9" tint="-0.249977111117893"/>
      <name val="Calibri"/>
      <family val="2"/>
      <scheme val="minor"/>
    </font>
    <font>
      <b/>
      <sz val="12"/>
      <color theme="3" tint="-0.249977111117893"/>
      <name val="Tahoma"/>
      <family val="2"/>
    </font>
    <font>
      <sz val="11"/>
      <color rgb="FFFF0000"/>
      <name val="Calibri"/>
      <family val="2"/>
      <scheme val="minor"/>
    </font>
    <font>
      <b/>
      <sz val="11"/>
      <color rgb="FFFF0000"/>
      <name val="Calibri"/>
      <family val="2"/>
      <scheme val="minor"/>
    </font>
    <font>
      <sz val="10"/>
      <color rgb="FFFF0000"/>
      <name val="Arial"/>
      <family val="2"/>
    </font>
    <font>
      <b/>
      <sz val="10"/>
      <color rgb="FFFF0000"/>
      <name val="Arial"/>
      <family val="2"/>
    </font>
    <font>
      <b/>
      <u/>
      <sz val="16"/>
      <color rgb="FF0070C0"/>
      <name val="Calibri"/>
      <family val="2"/>
      <scheme val="minor"/>
    </font>
    <font>
      <strike/>
      <sz val="11"/>
      <color rgb="FFFF0000"/>
      <name val="Calibri"/>
      <family val="2"/>
      <scheme val="minor"/>
    </font>
    <font>
      <strike/>
      <sz val="10"/>
      <color rgb="FFFF0000"/>
      <name val="Arial"/>
      <family val="2"/>
    </font>
    <font>
      <sz val="1"/>
      <color indexed="8"/>
      <name val="Courier"/>
      <charset val="134"/>
    </font>
    <font>
      <sz val="14"/>
      <name val="‚l‚r –¾’©"/>
      <charset val="128"/>
    </font>
    <font>
      <sz val="10"/>
      <name val="Helv"/>
      <charset val="204"/>
    </font>
    <font>
      <sz val="10"/>
      <name val="Helv"/>
      <charset val="134"/>
    </font>
    <font>
      <sz val="12"/>
      <name val="Courier"/>
      <charset val="134"/>
    </font>
    <font>
      <sz val="1"/>
      <color indexed="16"/>
      <name val="Courier"/>
      <charset val="134"/>
    </font>
    <font>
      <sz val="14"/>
      <name val="–¾’©"/>
      <charset val="128"/>
    </font>
    <font>
      <sz val="8"/>
      <name val="Arial"/>
      <family val="2"/>
    </font>
    <font>
      <b/>
      <sz val="8"/>
      <name val="Arial"/>
      <family val="2"/>
    </font>
    <font>
      <sz val="12"/>
      <name val="¹ÙÅÁÃ¼"/>
      <charset val="129"/>
    </font>
    <font>
      <sz val="11"/>
      <color indexed="8"/>
      <name val="Calibri"/>
      <family val="2"/>
    </font>
    <font>
      <sz val="11"/>
      <color indexed="8"/>
      <name val="Calibri"/>
      <family val="2"/>
    </font>
    <font>
      <sz val="11"/>
      <color indexed="9"/>
      <name val="Calibri"/>
      <family val="2"/>
    </font>
    <font>
      <sz val="11"/>
      <color indexed="9"/>
      <name val="Calibri"/>
      <family val="2"/>
    </font>
    <font>
      <b/>
      <u/>
      <sz val="18"/>
      <color indexed="9"/>
      <name val="Tahoma"/>
      <family val="2"/>
    </font>
    <font>
      <sz val="12"/>
      <name val="Times New Roman"/>
      <family val="1"/>
    </font>
    <font>
      <sz val="12"/>
      <name val="¹UAAA¼"/>
      <charset val="134"/>
    </font>
    <font>
      <sz val="8"/>
      <name val="Times New Roman"/>
      <family val="1"/>
    </font>
    <font>
      <sz val="11"/>
      <color indexed="20"/>
      <name val="Calibri"/>
      <family val="2"/>
    </font>
    <font>
      <sz val="11"/>
      <color indexed="20"/>
      <name val="Calibri"/>
      <family val="2"/>
    </font>
    <font>
      <sz val="11"/>
      <color indexed="17"/>
      <name val="Calibri"/>
      <family val="2"/>
    </font>
    <font>
      <sz val="12"/>
      <name val="Tms Rmn"/>
      <charset val="134"/>
    </font>
    <font>
      <b/>
      <sz val="12"/>
      <name val="Times New Roman"/>
      <family val="1"/>
    </font>
    <font>
      <b/>
      <sz val="10"/>
      <name val="Times New Roman"/>
      <family val="1"/>
    </font>
    <font>
      <sz val="10"/>
      <name val="MS Sans Serif"/>
      <charset val="134"/>
    </font>
    <font>
      <sz val="12"/>
      <name val="Arial"/>
      <family val="2"/>
    </font>
    <font>
      <sz val="12"/>
      <name val="Arial Narrow"/>
      <family val="2"/>
    </font>
    <font>
      <b/>
      <sz val="11"/>
      <color indexed="52"/>
      <name val="Calibri"/>
      <family val="2"/>
    </font>
    <font>
      <b/>
      <sz val="11"/>
      <color indexed="52"/>
      <name val="Calibri"/>
      <family val="2"/>
    </font>
    <font>
      <b/>
      <sz val="11"/>
      <color indexed="9"/>
      <name val="Calibri"/>
      <family val="2"/>
    </font>
    <font>
      <b/>
      <sz val="11"/>
      <color indexed="9"/>
      <name val="Calibri"/>
      <family val="2"/>
    </font>
    <font>
      <b/>
      <sz val="10"/>
      <name val="Tms Rmn"/>
      <charset val="134"/>
    </font>
    <font>
      <sz val="10"/>
      <color indexed="8"/>
      <name val="Arial"/>
      <family val="2"/>
    </font>
    <font>
      <sz val="11"/>
      <color theme="1"/>
      <name val="Calibri"/>
      <family val="2"/>
      <scheme val="minor"/>
    </font>
    <font>
      <sz val="10"/>
      <name val="AvantGarde Bk BT"/>
      <charset val="134"/>
    </font>
    <font>
      <sz val="8"/>
      <color indexed="8"/>
      <name val="Arial"/>
      <family val="2"/>
    </font>
    <font>
      <sz val="10"/>
      <name val="Geneva"/>
      <charset val="134"/>
    </font>
    <font>
      <sz val="10"/>
      <color indexed="8"/>
      <name val="Arial"/>
      <family val="2"/>
    </font>
    <font>
      <sz val="10"/>
      <name val="Times New Roman"/>
      <family val="1"/>
    </font>
    <font>
      <sz val="10"/>
      <name val="Arial Narrow"/>
      <family val="2"/>
    </font>
    <font>
      <sz val="11"/>
      <name val="Times New Roman"/>
      <family val="1"/>
    </font>
    <font>
      <sz val="10"/>
      <name val="MS Serif"/>
      <charset val="134"/>
    </font>
    <font>
      <b/>
      <u/>
      <sz val="11"/>
      <name val="Times New Roman"/>
      <family val="1"/>
    </font>
    <font>
      <sz val="6"/>
      <name val="Arial"/>
      <family val="2"/>
    </font>
    <font>
      <sz val="6"/>
      <name val="Helv"/>
      <charset val="134"/>
    </font>
    <font>
      <sz val="11"/>
      <name val="Aldine401 BT"/>
      <charset val="134"/>
    </font>
    <font>
      <sz val="10"/>
      <name val="Tms Rmn"/>
      <charset val="134"/>
    </font>
    <font>
      <sz val="10"/>
      <name val="Courier"/>
      <charset val="134"/>
    </font>
    <font>
      <b/>
      <sz val="10"/>
      <color indexed="8"/>
      <name val="Arial"/>
      <family val="2"/>
    </font>
    <font>
      <sz val="10"/>
      <color indexed="16"/>
      <name val="MS Serif"/>
      <charset val="134"/>
    </font>
    <font>
      <i/>
      <sz val="11"/>
      <color indexed="23"/>
      <name val="Calibri"/>
      <family val="2"/>
    </font>
    <font>
      <i/>
      <sz val="11"/>
      <color indexed="23"/>
      <name val="Calibri"/>
      <family val="2"/>
    </font>
    <font>
      <i/>
      <sz val="1"/>
      <color indexed="8"/>
      <name val="Courier"/>
      <charset val="134"/>
    </font>
    <font>
      <sz val="10"/>
      <name val="Century Gothic"/>
      <family val="2"/>
    </font>
    <font>
      <sz val="11"/>
      <color indexed="17"/>
      <name val="Calibri"/>
      <family val="2"/>
    </font>
    <font>
      <b/>
      <sz val="10"/>
      <name val="Century Gothic"/>
      <family val="2"/>
    </font>
    <font>
      <b/>
      <sz val="12"/>
      <name val="Helv"/>
      <charset val="134"/>
    </font>
    <font>
      <b/>
      <sz val="12"/>
      <name val="Arial"/>
      <family val="2"/>
    </font>
    <font>
      <b/>
      <sz val="15"/>
      <color indexed="56"/>
      <name val="Calibri"/>
      <family val="2"/>
    </font>
    <font>
      <b/>
      <sz val="15"/>
      <color indexed="56"/>
      <name val="Calibri"/>
      <family val="2"/>
    </font>
    <font>
      <b/>
      <sz val="18"/>
      <color indexed="24"/>
      <name val="Arial"/>
      <family val="2"/>
    </font>
    <font>
      <b/>
      <sz val="13"/>
      <color indexed="56"/>
      <name val="Calibri"/>
      <family val="2"/>
    </font>
    <font>
      <b/>
      <sz val="13"/>
      <color indexed="56"/>
      <name val="Calibri"/>
      <family val="2"/>
    </font>
    <font>
      <b/>
      <sz val="12"/>
      <color indexed="24"/>
      <name val="Arial"/>
      <family val="2"/>
    </font>
    <font>
      <b/>
      <sz val="11"/>
      <color indexed="56"/>
      <name val="Calibri"/>
      <family val="2"/>
    </font>
    <font>
      <b/>
      <sz val="11"/>
      <color indexed="56"/>
      <name val="Calibri"/>
      <family val="2"/>
    </font>
    <font>
      <b/>
      <sz val="1"/>
      <color indexed="8"/>
      <name val="Courier"/>
      <charset val="134"/>
    </font>
    <font>
      <b/>
      <sz val="1"/>
      <color indexed="8"/>
      <name val="Courier New"/>
      <family val="3"/>
    </font>
    <font>
      <b/>
      <sz val="8"/>
      <name val="MS Sans Serif"/>
      <charset val="134"/>
    </font>
    <font>
      <u/>
      <sz val="10"/>
      <color indexed="12"/>
      <name val="Helv"/>
      <charset val="134"/>
    </font>
    <font>
      <u/>
      <sz val="10"/>
      <color indexed="12"/>
      <name val="Arial"/>
      <family val="2"/>
    </font>
    <font>
      <sz val="10"/>
      <name val="Arial Unicode MS"/>
      <family val="2"/>
    </font>
    <font>
      <sz val="11"/>
      <color indexed="62"/>
      <name val="Calibri"/>
      <family val="2"/>
    </font>
    <font>
      <sz val="11"/>
      <color indexed="62"/>
      <name val="Calibri"/>
      <family val="2"/>
    </font>
    <font>
      <sz val="8"/>
      <color indexed="39"/>
      <name val="Arial"/>
      <family val="2"/>
    </font>
    <font>
      <b/>
      <sz val="18"/>
      <color indexed="56"/>
      <name val="Cambria"/>
      <family val="1"/>
    </font>
    <font>
      <b/>
      <sz val="11"/>
      <color indexed="63"/>
      <name val="Calibri"/>
      <family val="2"/>
    </font>
    <font>
      <sz val="12"/>
      <name val="Book Antiqua"/>
      <family val="1"/>
    </font>
    <font>
      <b/>
      <sz val="8"/>
      <name val="Helv"/>
      <charset val="134"/>
    </font>
    <font>
      <sz val="11"/>
      <color indexed="52"/>
      <name val="Calibri"/>
      <family val="2"/>
    </font>
    <font>
      <sz val="11"/>
      <color indexed="52"/>
      <name val="Calibri"/>
      <family val="2"/>
    </font>
    <font>
      <b/>
      <sz val="12"/>
      <name val="SWISS"/>
      <charset val="134"/>
    </font>
    <font>
      <sz val="9"/>
      <name val="Arial"/>
      <family val="2"/>
    </font>
    <font>
      <b/>
      <sz val="9"/>
      <name val="Arial"/>
      <family val="2"/>
    </font>
    <font>
      <sz val="11"/>
      <color indexed="60"/>
      <name val="Calibri"/>
      <family val="2"/>
    </font>
    <font>
      <sz val="11"/>
      <color indexed="60"/>
      <name val="Calibri"/>
      <family val="2"/>
    </font>
    <font>
      <sz val="7"/>
      <name val="Small Fonts"/>
      <charset val="134"/>
    </font>
    <font>
      <b/>
      <i/>
      <sz val="16"/>
      <name val="Helv"/>
      <charset val="134"/>
    </font>
    <font>
      <sz val="12"/>
      <name val="Helv"/>
      <charset val="134"/>
    </font>
    <font>
      <sz val="12"/>
      <name val="Arial MT"/>
      <charset val="134"/>
    </font>
    <font>
      <sz val="10"/>
      <color theme="1"/>
      <name val="Arial"/>
      <family val="2"/>
    </font>
    <font>
      <sz val="10"/>
      <name val="Times New Roman"/>
      <family val="1"/>
    </font>
    <font>
      <sz val="10"/>
      <color rgb="FF000000"/>
      <name val="Times New Roman"/>
      <family val="1"/>
    </font>
    <font>
      <sz val="10"/>
      <name val="Comic Sans MS"/>
      <family val="4"/>
    </font>
    <font>
      <sz val="10"/>
      <color indexed="8"/>
      <name val="Calibri"/>
      <family val="2"/>
    </font>
    <font>
      <b/>
      <sz val="14"/>
      <color indexed="8"/>
      <name val="Times New Roman"/>
      <family val="1"/>
    </font>
    <font>
      <b/>
      <sz val="11"/>
      <color indexed="63"/>
      <name val="Calibri"/>
      <family val="2"/>
    </font>
    <font>
      <b/>
      <sz val="10"/>
      <color indexed="8"/>
      <name val="Univers"/>
      <family val="2"/>
    </font>
    <font>
      <sz val="8"/>
      <color indexed="10"/>
      <name val="Arial"/>
      <family val="2"/>
    </font>
    <font>
      <sz val="8"/>
      <name val="Wingdings"/>
      <charset val="2"/>
    </font>
    <font>
      <sz val="8"/>
      <name val="Helv"/>
      <charset val="134"/>
    </font>
    <font>
      <b/>
      <u/>
      <sz val="10"/>
      <color indexed="18"/>
      <name val="Century Gothic"/>
      <family val="2"/>
    </font>
    <font>
      <b/>
      <sz val="18"/>
      <color indexed="8"/>
      <name val="Cambria"/>
      <family val="1"/>
    </font>
    <font>
      <sz val="8"/>
      <name val="MS Sans Serif"/>
      <charset val="134"/>
    </font>
    <font>
      <sz val="14"/>
      <name val="Arial Narrow"/>
      <family val="2"/>
    </font>
    <font>
      <b/>
      <sz val="12"/>
      <color indexed="18"/>
      <name val="Times New Roman"/>
      <family val="1"/>
    </font>
    <font>
      <b/>
      <sz val="8"/>
      <color indexed="8"/>
      <name val="Helv"/>
      <charset val="134"/>
    </font>
    <font>
      <sz val="10"/>
      <name val="VNI-Times"/>
      <charset val="134"/>
    </font>
    <font>
      <sz val="11"/>
      <color indexed="10"/>
      <name val="Calibri"/>
      <family val="2"/>
    </font>
    <font>
      <sz val="10"/>
      <name val="VNI-Univer"/>
      <charset val="134"/>
    </font>
    <font>
      <b/>
      <u/>
      <sz val="10"/>
      <name val="Century Gothic"/>
      <family val="2"/>
    </font>
    <font>
      <sz val="10"/>
      <color indexed="13"/>
      <name val="Helv"/>
      <charset val="134"/>
    </font>
    <font>
      <b/>
      <sz val="18"/>
      <color indexed="56"/>
      <name val="Cambria"/>
      <family val="1"/>
    </font>
    <font>
      <b/>
      <i/>
      <sz val="12"/>
      <name val="Times New Roman"/>
      <family val="1"/>
    </font>
    <font>
      <b/>
      <sz val="11"/>
      <color indexed="8"/>
      <name val="Calibri"/>
      <family val="2"/>
    </font>
    <font>
      <b/>
      <sz val="11"/>
      <color indexed="8"/>
      <name val="Calibri"/>
      <family val="2"/>
    </font>
    <font>
      <sz val="12"/>
      <color indexed="10"/>
      <name val="Arial Narrow"/>
      <family val="2"/>
    </font>
    <font>
      <u/>
      <sz val="10"/>
      <color indexed="14"/>
      <name val="COUR"/>
      <charset val="134"/>
    </font>
    <font>
      <sz val="10"/>
      <name val="VNI-Helve-Condense"/>
      <charset val="134"/>
    </font>
    <font>
      <sz val="11"/>
      <color indexed="10"/>
      <name val="Calibri"/>
      <family val="2"/>
    </font>
    <font>
      <sz val="8"/>
      <color indexed="9"/>
      <name val="Arial"/>
      <family val="2"/>
    </font>
    <font>
      <sz val="12"/>
      <name val="新細明體"/>
      <charset val="136"/>
    </font>
    <font>
      <sz val="14"/>
      <name val="뼻뮝"/>
      <charset val="134"/>
    </font>
    <font>
      <sz val="12"/>
      <name val="뼻뮝"/>
      <charset val="134"/>
    </font>
    <font>
      <sz val="12"/>
      <name val="바탕체"/>
      <charset val="134"/>
    </font>
    <font>
      <sz val="10"/>
      <name val="굴림체"/>
      <charset val="134"/>
    </font>
    <font>
      <sz val="12"/>
      <name val="宋体"/>
      <charset val="134"/>
    </font>
    <font>
      <sz val="14"/>
      <name val="ＭＳ 明朝"/>
      <charset val="128"/>
    </font>
    <font>
      <sz val="11"/>
      <name val="ＭＳ Ｐゴシック"/>
      <charset val="128"/>
    </font>
    <font>
      <strike/>
      <sz val="11"/>
      <color theme="1"/>
      <name val="Calibri"/>
      <family val="2"/>
      <scheme val="minor"/>
    </font>
    <font>
      <b/>
      <u/>
      <sz val="11"/>
      <color rgb="FFFFC000"/>
      <name val="Calibri"/>
      <family val="2"/>
      <scheme val="minor"/>
    </font>
    <font>
      <b/>
      <i/>
      <sz val="11"/>
      <color rgb="FFFFFF00"/>
      <name val="Calibri"/>
      <family val="2"/>
      <scheme val="minor"/>
    </font>
    <font>
      <b/>
      <sz val="9"/>
      <name val="Tahoma"/>
      <family val="2"/>
    </font>
    <font>
      <sz val="9"/>
      <name val="Tahoma"/>
      <family val="2"/>
    </font>
    <font>
      <sz val="10"/>
      <name val="Arial"/>
      <family val="2"/>
    </font>
    <font>
      <sz val="8"/>
      <color rgb="FF000000"/>
      <name val="Tahoma"/>
      <family val="2"/>
    </font>
    <font>
      <sz val="10"/>
      <name val="Arial"/>
      <family val="2"/>
    </font>
    <font>
      <b/>
      <sz val="11"/>
      <name val="Calibri"/>
      <family val="2"/>
      <scheme val="minor"/>
    </font>
    <font>
      <sz val="11"/>
      <color theme="1"/>
      <name val="Calibri"/>
      <family val="2"/>
      <scheme val="minor"/>
    </font>
    <font>
      <sz val="11"/>
      <color indexed="8"/>
      <name val="Calibri"/>
      <family val="2"/>
      <scheme val="minor"/>
    </font>
    <font>
      <sz val="10"/>
      <color theme="1"/>
      <name val="Arial"/>
      <family val="2"/>
    </font>
    <font>
      <sz val="11"/>
      <name val="Calibri"/>
      <family val="2"/>
      <scheme val="minor"/>
    </font>
    <font>
      <b/>
      <sz val="10"/>
      <name val="Calibri"/>
      <family val="2"/>
      <scheme val="minor"/>
    </font>
    <font>
      <i/>
      <sz val="11"/>
      <name val="Calibri"/>
      <family val="2"/>
      <scheme val="minor"/>
    </font>
    <font>
      <b/>
      <sz val="30"/>
      <name val="Bernard MT Condensed"/>
      <family val="1"/>
    </font>
    <font>
      <sz val="11"/>
      <color rgb="FFFFFF00"/>
      <name val="Calibri"/>
      <family val="2"/>
      <scheme val="minor"/>
    </font>
    <font>
      <sz val="11"/>
      <color rgb="FF000000"/>
      <name val="Calibri"/>
      <family val="2"/>
    </font>
    <font>
      <sz val="10"/>
      <color rgb="FFFF0000"/>
      <name val="Arial"/>
      <family val="2"/>
    </font>
    <font>
      <sz val="8"/>
      <name val="Arial"/>
      <family val="2"/>
    </font>
    <font>
      <sz val="12"/>
      <name val="Calibri"/>
      <family val="2"/>
      <scheme val="minor"/>
    </font>
    <font>
      <b/>
      <sz val="12"/>
      <name val="Calibri"/>
      <family val="2"/>
      <scheme val="minor"/>
    </font>
    <font>
      <b/>
      <u/>
      <sz val="12"/>
      <name val="Calibri"/>
      <family val="2"/>
      <scheme val="minor"/>
    </font>
  </fonts>
  <fills count="50">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
      <patternFill patternType="solid">
        <fgColor theme="3" tint="0.59999389629810485"/>
        <bgColor indexed="64"/>
      </patternFill>
    </fill>
    <fill>
      <patternFill patternType="solid">
        <fgColor theme="6" tint="0.39994506668294322"/>
        <bgColor indexed="64"/>
      </patternFill>
    </fill>
    <fill>
      <patternFill patternType="solid">
        <fgColor theme="0"/>
        <bgColor indexed="64"/>
      </patternFill>
    </fill>
    <fill>
      <patternFill patternType="solid">
        <fgColor rgb="FF66FFFF"/>
        <bgColor indexed="64"/>
      </patternFill>
    </fill>
    <fill>
      <patternFill patternType="solid">
        <fgColor rgb="FF00B05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3" tint="0.79995117038483843"/>
        <bgColor indexed="64"/>
      </patternFill>
    </fill>
    <fill>
      <patternFill patternType="lightUp">
        <fgColor theme="0" tint="-0.24994659260841701"/>
        <bgColor indexed="65"/>
      </patternFill>
    </fill>
    <fill>
      <patternFill patternType="solid">
        <fgColor theme="0" tint="-0.34998626667073579"/>
        <bgColor indexed="64"/>
      </patternFill>
    </fill>
    <fill>
      <patternFill patternType="solid">
        <fgColor rgb="FFFFFF00"/>
        <bgColor indexed="64"/>
      </patternFill>
    </fill>
    <fill>
      <patternFill patternType="solid">
        <fgColor theme="0" tint="-0.249977111117893"/>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22"/>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12"/>
        <bgColor indexed="64"/>
      </patternFill>
    </fill>
    <fill>
      <patternFill patternType="solid">
        <fgColor indexed="12"/>
        <bgColor indexed="39"/>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
      <patternFill patternType="solid">
        <fgColor indexed="55"/>
        <bgColor indexed="64"/>
      </patternFill>
    </fill>
    <fill>
      <patternFill patternType="lightUp">
        <fgColor indexed="9"/>
        <bgColor indexed="27"/>
      </patternFill>
    </fill>
    <fill>
      <patternFill patternType="lightUp">
        <fgColor indexed="9"/>
        <bgColor indexed="26"/>
      </patternFill>
    </fill>
    <fill>
      <patternFill patternType="gray125">
        <fgColor indexed="8"/>
      </patternFill>
    </fill>
    <fill>
      <patternFill patternType="solid">
        <fgColor indexed="43"/>
        <bgColor indexed="64"/>
      </patternFill>
    </fill>
    <fill>
      <patternFill patternType="solid">
        <fgColor indexed="13"/>
        <bgColor indexed="64"/>
      </patternFill>
    </fill>
    <fill>
      <patternFill patternType="darkHorizontal">
        <fgColor indexed="22"/>
      </patternFill>
    </fill>
    <fill>
      <patternFill patternType="solid">
        <fgColor indexed="9"/>
        <bgColor indexed="9"/>
      </patternFill>
    </fill>
    <fill>
      <patternFill patternType="darkVertical"/>
    </fill>
    <fill>
      <patternFill patternType="gray125"/>
    </fill>
    <fill>
      <patternFill patternType="mediumGray">
        <fgColor indexed="22"/>
        <bgColor indexed="9"/>
      </patternFill>
    </fill>
    <fill>
      <patternFill patternType="solid">
        <fgColor indexed="9"/>
        <bgColor indexed="64"/>
      </patternFill>
    </fill>
  </fills>
  <borders count="2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medium">
        <color auto="1"/>
      </bottom>
      <diagonal/>
    </border>
    <border>
      <left style="thin">
        <color auto="1"/>
      </left>
      <right/>
      <top/>
      <bottom/>
      <diagonal/>
    </border>
    <border>
      <left style="thin">
        <color auto="1"/>
      </left>
      <right/>
      <top/>
      <bottom style="thick">
        <color auto="1"/>
      </bottom>
      <diagonal/>
    </border>
    <border>
      <left/>
      <right/>
      <top/>
      <bottom style="thick">
        <color auto="1"/>
      </bottom>
      <diagonal/>
    </border>
    <border>
      <left/>
      <right style="thin">
        <color auto="1"/>
      </right>
      <top/>
      <bottom/>
      <diagonal/>
    </border>
    <border>
      <left/>
      <right style="thin">
        <color auto="1"/>
      </right>
      <top/>
      <bottom style="thick">
        <color auto="1"/>
      </bottom>
      <diagonal/>
    </border>
    <border>
      <left style="thin">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style="thin">
        <color theme="1"/>
      </bottom>
      <diagonal/>
    </border>
    <border>
      <left style="thin">
        <color theme="1"/>
      </left>
      <right style="thin">
        <color theme="1"/>
      </right>
      <top/>
      <bottom/>
      <diagonal/>
    </border>
    <border>
      <left style="thin">
        <color theme="1"/>
      </left>
      <right/>
      <top/>
      <bottom/>
      <diagonal/>
    </border>
    <border>
      <left style="thin">
        <color theme="1"/>
      </left>
      <right style="thin">
        <color theme="1"/>
      </right>
      <top/>
      <bottom style="thin">
        <color theme="1"/>
      </bottom>
      <diagonal/>
    </border>
    <border>
      <left style="thin">
        <color theme="1"/>
      </left>
      <right/>
      <top/>
      <bottom style="thin">
        <color theme="1"/>
      </bottom>
      <diagonal/>
    </border>
    <border>
      <left/>
      <right/>
      <top/>
      <bottom style="thin">
        <color theme="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theme="1"/>
      </right>
      <top style="hair">
        <color theme="1"/>
      </top>
      <bottom style="hair">
        <color theme="1"/>
      </bottom>
      <diagonal/>
    </border>
    <border>
      <left/>
      <right style="thin">
        <color theme="1"/>
      </right>
      <top/>
      <bottom/>
      <diagonal/>
    </border>
    <border>
      <left style="thin">
        <color theme="1"/>
      </left>
      <right/>
      <top style="thin">
        <color theme="1"/>
      </top>
      <bottom style="hair">
        <color theme="1"/>
      </bottom>
      <diagonal/>
    </border>
    <border>
      <left/>
      <right style="thin">
        <color theme="1"/>
      </right>
      <top style="thin">
        <color theme="1"/>
      </top>
      <bottom style="hair">
        <color theme="1"/>
      </bottom>
      <diagonal/>
    </border>
    <border>
      <left style="thin">
        <color theme="1"/>
      </left>
      <right/>
      <top style="hair">
        <color theme="1"/>
      </top>
      <bottom style="hair">
        <color theme="1"/>
      </bottom>
      <diagonal/>
    </border>
    <border>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right style="thin">
        <color theme="1"/>
      </right>
      <top/>
      <bottom style="thin">
        <color theme="1"/>
      </bottom>
      <diagonal/>
    </border>
    <border>
      <left/>
      <right/>
      <top style="thin">
        <color theme="1"/>
      </top>
      <bottom style="hair">
        <color theme="1"/>
      </bottom>
      <diagonal/>
    </border>
    <border>
      <left/>
      <right/>
      <top style="hair">
        <color theme="1"/>
      </top>
      <bottom style="hair">
        <color theme="1"/>
      </bottom>
      <diagonal/>
    </border>
    <border>
      <left style="thin">
        <color theme="1"/>
      </left>
      <right/>
      <top style="hair">
        <color theme="1"/>
      </top>
      <bottom style="thin">
        <color theme="1"/>
      </bottom>
      <diagonal/>
    </border>
    <border>
      <left/>
      <right style="thin">
        <color theme="1"/>
      </right>
      <top style="hair">
        <color theme="1"/>
      </top>
      <bottom style="thin">
        <color theme="1"/>
      </bottom>
      <diagonal/>
    </border>
    <border>
      <left/>
      <right/>
      <top style="hair">
        <color theme="1"/>
      </top>
      <bottom style="thin">
        <color theme="1"/>
      </bottom>
      <diagonal/>
    </border>
    <border>
      <left style="medium">
        <color theme="1"/>
      </left>
      <right style="thin">
        <color theme="1"/>
      </right>
      <top style="medium">
        <color theme="1"/>
      </top>
      <bottom/>
      <diagonal/>
    </border>
    <border>
      <left style="thin">
        <color theme="1"/>
      </left>
      <right/>
      <top style="medium">
        <color theme="1"/>
      </top>
      <bottom/>
      <diagonal/>
    </border>
    <border>
      <left/>
      <right/>
      <top style="medium">
        <color theme="1"/>
      </top>
      <bottom/>
      <diagonal/>
    </border>
    <border>
      <left/>
      <right style="thin">
        <color theme="1"/>
      </right>
      <top style="medium">
        <color theme="1"/>
      </top>
      <bottom/>
      <diagonal/>
    </border>
    <border>
      <left style="thin">
        <color theme="1"/>
      </left>
      <right style="thin">
        <color theme="1"/>
      </right>
      <top style="medium">
        <color theme="1"/>
      </top>
      <bottom/>
      <diagonal/>
    </border>
    <border>
      <left style="thin">
        <color theme="1"/>
      </left>
      <right/>
      <top style="medium">
        <color theme="1"/>
      </top>
      <bottom style="thin">
        <color theme="1"/>
      </bottom>
      <diagonal/>
    </border>
    <border>
      <left/>
      <right/>
      <top style="medium">
        <color theme="1"/>
      </top>
      <bottom style="thin">
        <color theme="1"/>
      </bottom>
      <diagonal/>
    </border>
    <border>
      <left style="medium">
        <color theme="1"/>
      </left>
      <right style="thin">
        <color theme="1"/>
      </right>
      <top/>
      <bottom style="medium">
        <color theme="1"/>
      </bottom>
      <diagonal/>
    </border>
    <border>
      <left style="thin">
        <color theme="1"/>
      </left>
      <right/>
      <top/>
      <bottom style="medium">
        <color theme="1"/>
      </bottom>
      <diagonal/>
    </border>
    <border>
      <left/>
      <right/>
      <top/>
      <bottom style="medium">
        <color theme="1"/>
      </bottom>
      <diagonal/>
    </border>
    <border>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style="thin">
        <color theme="1"/>
      </right>
      <top style="thin">
        <color theme="1"/>
      </top>
      <bottom style="medium">
        <color theme="1"/>
      </bottom>
      <diagonal/>
    </border>
    <border>
      <left style="medium">
        <color theme="1"/>
      </left>
      <right style="thin">
        <color theme="1"/>
      </right>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diagonal/>
    </border>
    <border>
      <left style="medium">
        <color theme="1"/>
      </left>
      <right style="thin">
        <color theme="1"/>
      </right>
      <top style="medium">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top style="thin">
        <color theme="1"/>
      </top>
      <bottom style="medium">
        <color theme="1"/>
      </bottom>
      <diagonal/>
    </border>
    <border>
      <left/>
      <right/>
      <top style="thin">
        <color theme="1"/>
      </top>
      <bottom style="medium">
        <color theme="1"/>
      </bottom>
      <diagonal/>
    </border>
    <border>
      <left/>
      <right style="thin">
        <color theme="1"/>
      </right>
      <top style="medium">
        <color theme="1"/>
      </top>
      <bottom style="thin">
        <color theme="1"/>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style="thin">
        <color theme="1"/>
      </left>
      <right style="medium">
        <color theme="1"/>
      </right>
      <top/>
      <bottom style="thin">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style="thin">
        <color theme="1"/>
      </left>
      <right style="medium">
        <color theme="1"/>
      </right>
      <top style="medium">
        <color theme="1"/>
      </top>
      <bottom style="thin">
        <color theme="1"/>
      </bottom>
      <diagonal/>
    </border>
    <border>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indexed="8"/>
      </left>
      <right/>
      <top style="medium">
        <color indexed="8"/>
      </top>
      <bottom/>
      <diagonal/>
    </border>
    <border>
      <left/>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thin">
        <color indexed="8"/>
      </right>
      <top style="medium">
        <color indexed="8"/>
      </top>
      <bottom/>
      <diagonal/>
    </border>
    <border>
      <left style="thin">
        <color indexed="8"/>
      </left>
      <right/>
      <top style="medium">
        <color indexed="8"/>
      </top>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top style="hair">
        <color indexed="8"/>
      </top>
      <bottom/>
      <diagonal/>
    </border>
    <border>
      <left/>
      <right/>
      <top style="hair">
        <color indexed="8"/>
      </top>
      <bottom/>
      <diagonal/>
    </border>
    <border>
      <left style="thin">
        <color indexed="8"/>
      </left>
      <right style="thin">
        <color indexed="8"/>
      </right>
      <top style="hair">
        <color indexed="8"/>
      </top>
      <bottom/>
      <diagonal/>
    </border>
    <border>
      <left style="thin">
        <color indexed="8"/>
      </left>
      <right style="medium">
        <color indexed="8"/>
      </right>
      <top style="hair">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thin">
        <color indexed="8"/>
      </left>
      <right/>
      <top/>
      <bottom style="thin">
        <color indexed="8"/>
      </bottom>
      <diagonal/>
    </border>
    <border>
      <left style="thin">
        <color indexed="8"/>
      </left>
      <right style="medium">
        <color indexed="8"/>
      </right>
      <top/>
      <bottom style="thin">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medium">
        <color indexed="8"/>
      </right>
      <top style="hair">
        <color indexed="8"/>
      </top>
      <bottom style="hair">
        <color indexed="8"/>
      </bottom>
      <diagonal/>
    </border>
    <border>
      <left/>
      <right style="thin">
        <color indexed="8"/>
      </right>
      <top style="hair">
        <color indexed="8"/>
      </top>
      <bottom style="hair">
        <color indexed="8"/>
      </bottom>
      <diagonal/>
    </border>
    <border>
      <left style="medium">
        <color indexed="8"/>
      </left>
      <right/>
      <top style="thin">
        <color indexed="8"/>
      </top>
      <bottom style="medium">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top style="medium">
        <color indexed="8"/>
      </top>
      <bottom style="thin">
        <color indexed="8"/>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top style="hair">
        <color indexed="8"/>
      </top>
      <bottom style="hair">
        <color indexed="8"/>
      </bottom>
      <diagonal/>
    </border>
    <border>
      <left/>
      <right style="thin">
        <color indexed="8"/>
      </right>
      <top style="thin">
        <color indexed="8"/>
      </top>
      <bottom/>
      <diagonal/>
    </border>
    <border>
      <left/>
      <right style="thin">
        <color indexed="8"/>
      </right>
      <top/>
      <bottom/>
      <diagonal/>
    </border>
    <border>
      <left style="thin">
        <color indexed="8"/>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thin">
        <color indexed="8"/>
      </left>
      <right style="thin">
        <color indexed="8"/>
      </right>
      <top style="thin">
        <color indexed="8"/>
      </top>
      <bottom style="hair">
        <color indexed="8"/>
      </bottom>
      <diagonal/>
    </border>
    <border>
      <left style="thin">
        <color indexed="8"/>
      </left>
      <right style="medium">
        <color indexed="8"/>
      </right>
      <top style="thin">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style="medium">
        <color indexed="8"/>
      </right>
      <top style="hair">
        <color indexed="8"/>
      </top>
      <bottom style="thin">
        <color indexed="8"/>
      </bottom>
      <diagonal/>
    </border>
    <border>
      <left/>
      <right style="thin">
        <color indexed="8"/>
      </right>
      <top style="hair">
        <color indexed="8"/>
      </top>
      <bottom/>
      <diagonal/>
    </border>
    <border>
      <left style="thin">
        <color indexed="8"/>
      </left>
      <right style="thin">
        <color indexed="8"/>
      </right>
      <top/>
      <bottom style="hair">
        <color indexed="8"/>
      </bottom>
      <diagonal/>
    </border>
    <border>
      <left style="thin">
        <color indexed="8"/>
      </left>
      <right/>
      <top/>
      <bottom style="hair">
        <color indexed="8"/>
      </bottom>
      <diagonal/>
    </border>
    <border>
      <left/>
      <right/>
      <top/>
      <bottom style="hair">
        <color indexed="8"/>
      </bottom>
      <diagonal/>
    </border>
    <border>
      <left/>
      <right style="thin">
        <color indexed="8"/>
      </right>
      <top/>
      <bottom style="hair">
        <color indexed="8"/>
      </bottom>
      <diagonal/>
    </border>
    <border>
      <left style="thin">
        <color indexed="8"/>
      </left>
      <right style="medium">
        <color indexed="8"/>
      </right>
      <top/>
      <bottom style="hair">
        <color indexed="8"/>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hair">
        <color rgb="FF000000"/>
      </bottom>
      <diagonal/>
    </border>
    <border>
      <left style="thin">
        <color rgb="FF000000"/>
      </left>
      <right/>
      <top style="thin">
        <color rgb="FF000000"/>
      </top>
      <bottom/>
      <diagonal/>
    </border>
    <border>
      <left/>
      <right/>
      <top style="thin">
        <color rgb="FF000000"/>
      </top>
      <bottom/>
      <diagonal/>
    </border>
    <border>
      <left/>
      <right/>
      <top/>
      <bottom style="hair">
        <color rgb="FF000000"/>
      </bottom>
      <diagonal/>
    </border>
    <border>
      <left style="thin">
        <color rgb="FF000000"/>
      </left>
      <right/>
      <top style="hair">
        <color rgb="FF000000"/>
      </top>
      <bottom/>
      <diagonal/>
    </border>
    <border>
      <left/>
      <right/>
      <top style="hair">
        <color rgb="FF000000"/>
      </top>
      <bottom/>
      <diagonal/>
    </border>
    <border>
      <left style="thin">
        <color rgb="FF000000"/>
      </left>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style="hair">
        <color rgb="FF000000"/>
      </bottom>
      <diagonal/>
    </border>
    <border>
      <left/>
      <right style="thin">
        <color rgb="FF000000"/>
      </right>
      <top style="hair">
        <color rgb="FF000000"/>
      </top>
      <bottom/>
      <diagonal/>
    </border>
    <border>
      <left/>
      <right style="thin">
        <color rgb="FF000000"/>
      </right>
      <top/>
      <bottom style="thin">
        <color rgb="FF000000"/>
      </bottom>
      <diagonal/>
    </border>
    <border>
      <left/>
      <right/>
      <top style="medium">
        <color rgb="FFFFFF00"/>
      </top>
      <bottom/>
      <diagonal/>
    </border>
    <border>
      <left/>
      <right style="mediumDashed">
        <color rgb="FFFFFF00"/>
      </right>
      <top/>
      <bottom style="mediumDashed">
        <color rgb="FFFFFF00"/>
      </bottom>
      <diagonal/>
    </border>
    <border>
      <left/>
      <right style="thin">
        <color rgb="FF000000"/>
      </right>
      <top/>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theme="1"/>
      </left>
      <right style="thin">
        <color theme="1"/>
      </right>
      <top style="thin">
        <color theme="1"/>
      </top>
      <bottom style="hair">
        <color theme="1"/>
      </bottom>
      <diagonal/>
    </border>
    <border>
      <left style="thin">
        <color theme="1"/>
      </left>
      <right style="thin">
        <color theme="1"/>
      </right>
      <top style="hair">
        <color auto="1"/>
      </top>
      <bottom style="hair">
        <color auto="1"/>
      </bottom>
      <diagonal/>
    </border>
    <border>
      <left style="thin">
        <color auto="1"/>
      </left>
      <right style="thin">
        <color auto="1"/>
      </right>
      <top style="hair">
        <color auto="1"/>
      </top>
      <bottom style="hair">
        <color theme="1"/>
      </bottom>
      <diagonal/>
    </border>
    <border>
      <left/>
      <right/>
      <top style="hair">
        <color auto="1"/>
      </top>
      <bottom/>
      <diagonal/>
    </border>
    <border>
      <left style="thin">
        <color auto="1"/>
      </left>
      <right/>
      <top style="hair">
        <color auto="1"/>
      </top>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rgb="FF000000"/>
      </left>
      <right style="thin">
        <color rgb="FF000000"/>
      </right>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ck">
        <color auto="1"/>
      </left>
      <right/>
      <top/>
      <bottom style="thick">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style="thin">
        <color auto="1"/>
      </left>
      <right style="thin">
        <color auto="1"/>
      </right>
      <top style="medium">
        <color auto="1"/>
      </top>
      <bottom style="medium">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8"/>
      </left>
      <right/>
      <top style="thin">
        <color indexed="8"/>
      </top>
      <bottom style="double">
        <color indexed="8"/>
      </bottom>
      <diagonal/>
    </border>
    <border>
      <left style="medium">
        <color auto="1"/>
      </left>
      <right/>
      <top style="medium">
        <color auto="1"/>
      </top>
      <bottom style="thin">
        <color auto="1"/>
      </bottom>
      <diagonal/>
    </border>
    <border>
      <left/>
      <right/>
      <top style="thin">
        <color indexed="62"/>
      </top>
      <bottom style="double">
        <color indexed="62"/>
      </bottom>
      <diagonal/>
    </border>
    <border>
      <left/>
      <right/>
      <top style="double">
        <color auto="1"/>
      </top>
      <bottom/>
      <diagonal/>
    </border>
    <border>
      <left style="thin">
        <color auto="1"/>
      </left>
      <right style="thin">
        <color auto="1"/>
      </right>
      <top style="double">
        <color auto="1"/>
      </top>
      <bottom style="thin">
        <color auto="1"/>
      </bottom>
      <diagonal/>
    </border>
    <border>
      <left style="thin">
        <color indexed="8"/>
      </left>
      <right style="thin">
        <color indexed="8"/>
      </right>
      <top style="double">
        <color indexed="8"/>
      </top>
      <bottom style="thin">
        <color indexed="8"/>
      </bottom>
      <diagonal/>
    </border>
    <border>
      <left style="thin">
        <color auto="1"/>
      </left>
      <right style="thin">
        <color rgb="FFFFFF00"/>
      </right>
      <top/>
      <bottom/>
      <diagonal/>
    </border>
    <border>
      <left/>
      <right/>
      <top/>
      <bottom style="thin">
        <color indexed="64"/>
      </bottom>
      <diagonal/>
    </border>
  </borders>
  <cellStyleXfs count="412">
    <xf numFmtId="0" fontId="0" fillId="0" borderId="0"/>
    <xf numFmtId="43" fontId="218" fillId="0" borderId="0" applyFont="0" applyFill="0" applyBorder="0" applyAlignment="0" applyProtection="0"/>
    <xf numFmtId="9" fontId="218" fillId="0" borderId="0" applyFont="0" applyFill="0" applyBorder="0" applyAlignment="0" applyProtection="0"/>
    <xf numFmtId="41" fontId="218" fillId="0" borderId="0" applyFont="0" applyFill="0" applyBorder="0" applyAlignment="0" applyProtection="0"/>
    <xf numFmtId="0" fontId="21" fillId="0" borderId="0" applyNumberFormat="0" applyFill="0" applyBorder="0" applyAlignment="0" applyProtection="0"/>
    <xf numFmtId="164" fontId="218" fillId="0" borderId="0" applyFill="0" applyBorder="0" applyAlignment="0" applyProtection="0"/>
    <xf numFmtId="165" fontId="218" fillId="0" borderId="0" applyFill="0" applyBorder="0" applyAlignment="0" applyProtection="0"/>
    <xf numFmtId="166" fontId="218" fillId="0" borderId="0" applyFill="0" applyBorder="0" applyAlignment="0" applyProtection="0"/>
    <xf numFmtId="167" fontId="218" fillId="0" borderId="0" applyFill="0" applyBorder="0" applyAlignment="0" applyProtection="0"/>
    <xf numFmtId="9" fontId="218" fillId="0" borderId="0" applyFill="0" applyBorder="0" applyAlignment="0" applyProtection="0"/>
    <xf numFmtId="168" fontId="84" fillId="0" borderId="0">
      <protection locked="0"/>
    </xf>
    <xf numFmtId="0" fontId="84" fillId="0" borderId="0">
      <protection locked="0"/>
    </xf>
    <xf numFmtId="0" fontId="85" fillId="0" borderId="0"/>
    <xf numFmtId="0" fontId="86" fillId="0" borderId="0"/>
    <xf numFmtId="0" fontId="87" fillId="0" borderId="0"/>
    <xf numFmtId="169" fontId="88" fillId="0" borderId="0"/>
    <xf numFmtId="43" fontId="218" fillId="0" borderId="0">
      <protection locked="0"/>
    </xf>
    <xf numFmtId="168" fontId="89" fillId="0" borderId="0">
      <protection locked="0"/>
    </xf>
    <xf numFmtId="1" fontId="90" fillId="0" borderId="0"/>
    <xf numFmtId="170" fontId="91" fillId="0" borderId="0" applyNumberFormat="0" applyFont="0" applyFill="0" applyBorder="0" applyAlignment="0" applyProtection="0"/>
    <xf numFmtId="171" fontId="92" fillId="0" borderId="0">
      <alignment horizontal="center"/>
    </xf>
    <xf numFmtId="9" fontId="93" fillId="0" borderId="0" applyFont="0" applyFill="0" applyBorder="0" applyAlignment="0" applyProtection="0"/>
    <xf numFmtId="0" fontId="94" fillId="16" borderId="0" applyNumberFormat="0" applyBorder="0" applyAlignment="0" applyProtection="0"/>
    <xf numFmtId="0" fontId="95" fillId="16" borderId="0" applyNumberFormat="0" applyBorder="0" applyAlignment="0" applyProtection="0"/>
    <xf numFmtId="0" fontId="94" fillId="17" borderId="0" applyNumberFormat="0" applyBorder="0" applyAlignment="0" applyProtection="0"/>
    <xf numFmtId="0" fontId="95" fillId="17" borderId="0" applyNumberFormat="0" applyBorder="0" applyAlignment="0" applyProtection="0"/>
    <xf numFmtId="0" fontId="94" fillId="18" borderId="0" applyNumberFormat="0" applyBorder="0" applyAlignment="0" applyProtection="0"/>
    <xf numFmtId="0" fontId="95" fillId="18" borderId="0" applyNumberFormat="0" applyBorder="0" applyAlignment="0" applyProtection="0"/>
    <xf numFmtId="0" fontId="94" fillId="19" borderId="0" applyNumberFormat="0" applyBorder="0" applyAlignment="0" applyProtection="0"/>
    <xf numFmtId="0" fontId="95" fillId="19" borderId="0" applyNumberFormat="0" applyBorder="0" applyAlignment="0" applyProtection="0"/>
    <xf numFmtId="0" fontId="94" fillId="20" borderId="0" applyNumberFormat="0" applyBorder="0" applyAlignment="0" applyProtection="0"/>
    <xf numFmtId="0" fontId="95" fillId="20" borderId="0" applyNumberFormat="0" applyBorder="0" applyAlignment="0" applyProtection="0"/>
    <xf numFmtId="0" fontId="94" fillId="21" borderId="0" applyNumberFormat="0" applyBorder="0" applyAlignment="0" applyProtection="0"/>
    <xf numFmtId="0" fontId="95" fillId="21" borderId="0" applyNumberFormat="0" applyBorder="0" applyAlignment="0" applyProtection="0"/>
    <xf numFmtId="0" fontId="94" fillId="22" borderId="0" applyNumberFormat="0" applyBorder="0" applyAlignment="0" applyProtection="0"/>
    <xf numFmtId="0" fontId="94" fillId="23" borderId="0" applyNumberFormat="0" applyBorder="0" applyAlignment="0" applyProtection="0"/>
    <xf numFmtId="0" fontId="95" fillId="23" borderId="0" applyNumberFormat="0" applyBorder="0" applyAlignment="0" applyProtection="0"/>
    <xf numFmtId="0" fontId="94" fillId="24" borderId="0" applyNumberFormat="0" applyBorder="0" applyAlignment="0" applyProtection="0"/>
    <xf numFmtId="0" fontId="95" fillId="24" borderId="0" applyNumberFormat="0" applyBorder="0" applyAlignment="0" applyProtection="0"/>
    <xf numFmtId="0" fontId="94" fillId="25" borderId="0" applyNumberFormat="0" applyBorder="0" applyAlignment="0" applyProtection="0"/>
    <xf numFmtId="0" fontId="95" fillId="25" borderId="0" applyNumberFormat="0" applyBorder="0" applyAlignment="0" applyProtection="0"/>
    <xf numFmtId="0" fontId="94" fillId="26" borderId="0" applyNumberFormat="0" applyBorder="0" applyAlignment="0" applyProtection="0"/>
    <xf numFmtId="0" fontId="95" fillId="26" borderId="0" applyNumberFormat="0" applyBorder="0" applyAlignment="0" applyProtection="0"/>
    <xf numFmtId="0" fontId="96" fillId="27" borderId="0" applyNumberFormat="0" applyBorder="0" applyAlignment="0" applyProtection="0"/>
    <xf numFmtId="0" fontId="97" fillId="27" borderId="0" applyNumberFormat="0" applyBorder="0" applyAlignment="0" applyProtection="0"/>
    <xf numFmtId="0" fontId="96" fillId="24" borderId="0" applyNumberFormat="0" applyBorder="0" applyAlignment="0" applyProtection="0"/>
    <xf numFmtId="0" fontId="97" fillId="24" borderId="0" applyNumberFormat="0" applyBorder="0" applyAlignment="0" applyProtection="0"/>
    <xf numFmtId="0" fontId="96" fillId="25" borderId="0" applyNumberFormat="0" applyBorder="0" applyAlignment="0" applyProtection="0"/>
    <xf numFmtId="0" fontId="97" fillId="25" borderId="0" applyNumberFormat="0" applyBorder="0" applyAlignment="0" applyProtection="0"/>
    <xf numFmtId="0" fontId="96" fillId="28" borderId="0" applyNumberFormat="0" applyBorder="0" applyAlignment="0" applyProtection="0"/>
    <xf numFmtId="0" fontId="97" fillId="28" borderId="0" applyNumberFormat="0" applyBorder="0" applyAlignment="0" applyProtection="0"/>
    <xf numFmtId="0" fontId="96" fillId="29" borderId="0" applyNumberFormat="0" applyBorder="0" applyAlignment="0" applyProtection="0"/>
    <xf numFmtId="0" fontId="97" fillId="29" borderId="0" applyNumberFormat="0" applyBorder="0" applyAlignment="0" applyProtection="0"/>
    <xf numFmtId="0" fontId="96" fillId="30" borderId="0" applyNumberFormat="0" applyBorder="0" applyAlignment="0" applyProtection="0"/>
    <xf numFmtId="0" fontId="97" fillId="30" borderId="0" applyNumberFormat="0" applyBorder="0" applyAlignment="0" applyProtection="0"/>
    <xf numFmtId="0" fontId="98" fillId="31" borderId="0" applyNumberFormat="0" applyBorder="0" applyAlignment="0">
      <alignment horizontal="center"/>
    </xf>
    <xf numFmtId="172" fontId="98" fillId="32" borderId="0" applyAlignment="0"/>
    <xf numFmtId="0" fontId="98" fillId="32" borderId="0" applyNumberFormat="0" applyBorder="0" applyAlignment="0"/>
    <xf numFmtId="173" fontId="218" fillId="0" borderId="0" applyFont="0" applyBorder="0" applyAlignment="0"/>
    <xf numFmtId="174" fontId="218" fillId="0" borderId="0" applyFont="0" applyBorder="0" applyAlignment="0"/>
    <xf numFmtId="0" fontId="96" fillId="33" borderId="0" applyNumberFormat="0" applyBorder="0" applyAlignment="0" applyProtection="0"/>
    <xf numFmtId="0" fontId="97" fillId="33" borderId="0" applyNumberFormat="0" applyBorder="0" applyAlignment="0" applyProtection="0"/>
    <xf numFmtId="0" fontId="96" fillId="34" borderId="0" applyNumberFormat="0" applyBorder="0" applyAlignment="0" applyProtection="0"/>
    <xf numFmtId="0" fontId="97" fillId="34" borderId="0" applyNumberFormat="0" applyBorder="0" applyAlignment="0" applyProtection="0"/>
    <xf numFmtId="0" fontId="96" fillId="35" borderId="0" applyNumberFormat="0" applyBorder="0" applyAlignment="0" applyProtection="0"/>
    <xf numFmtId="0" fontId="97" fillId="35" borderId="0" applyNumberFormat="0" applyBorder="0" applyAlignment="0" applyProtection="0"/>
    <xf numFmtId="0" fontId="96" fillId="36" borderId="0" applyNumberFormat="0" applyBorder="0" applyAlignment="0" applyProtection="0"/>
    <xf numFmtId="0" fontId="97" fillId="36" borderId="0" applyNumberFormat="0" applyBorder="0" applyAlignment="0" applyProtection="0"/>
    <xf numFmtId="175" fontId="218" fillId="0" borderId="0"/>
    <xf numFmtId="176" fontId="99" fillId="0" borderId="0" applyFont="0" applyFill="0" applyBorder="0" applyAlignment="0" applyProtection="0"/>
    <xf numFmtId="0" fontId="100" fillId="0" borderId="0" applyFont="0" applyFill="0" applyBorder="0" applyAlignment="0" applyProtection="0"/>
    <xf numFmtId="177" fontId="99" fillId="0" borderId="0" applyFont="0" applyFill="0" applyBorder="0" applyAlignment="0" applyProtection="0"/>
    <xf numFmtId="0" fontId="218" fillId="0" borderId="0" applyFill="0" applyBorder="0" applyAlignment="0" applyProtection="0"/>
    <xf numFmtId="0" fontId="101" fillId="0" borderId="0">
      <alignment horizontal="center" wrapText="1"/>
      <protection locked="0"/>
    </xf>
    <xf numFmtId="0" fontId="218" fillId="0" borderId="0" applyFill="0" applyBorder="0">
      <alignment vertical="center"/>
    </xf>
    <xf numFmtId="0" fontId="218" fillId="0" borderId="0" applyFill="0">
      <alignment vertical="center"/>
    </xf>
    <xf numFmtId="178" fontId="99" fillId="0" borderId="0" applyFont="0" applyFill="0" applyBorder="0" applyAlignment="0" applyProtection="0"/>
    <xf numFmtId="179" fontId="99" fillId="0" borderId="0" applyFont="0" applyFill="0" applyBorder="0" applyAlignment="0" applyProtection="0"/>
    <xf numFmtId="173" fontId="218" fillId="0" borderId="0" applyFont="0" applyFill="0" applyBorder="0" applyAlignment="0" applyProtection="0"/>
    <xf numFmtId="0" fontId="102" fillId="17" borderId="0" applyNumberFormat="0" applyBorder="0" applyAlignment="0" applyProtection="0"/>
    <xf numFmtId="0" fontId="103" fillId="17" borderId="0" applyNumberFormat="0" applyBorder="0" applyAlignment="0" applyProtection="0"/>
    <xf numFmtId="0" fontId="104" fillId="18" borderId="0" applyNumberFormat="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7" fillId="0" borderId="0" applyNumberFormat="0" applyBorder="0">
      <alignment horizontal="center"/>
    </xf>
    <xf numFmtId="0" fontId="107" fillId="0" borderId="0" applyNumberFormat="0" applyFill="0" applyBorder="0" applyAlignment="0" applyProtection="0"/>
    <xf numFmtId="0" fontId="108" fillId="0" borderId="199" applyNumberFormat="0" applyFill="0" applyAlignment="0" applyProtection="0">
      <alignment horizontal="center"/>
    </xf>
    <xf numFmtId="0" fontId="109" fillId="0" borderId="0" applyFont="0" applyFill="0" applyBorder="0" applyAlignment="0" applyProtection="0"/>
    <xf numFmtId="169" fontId="110" fillId="0" borderId="107"/>
    <xf numFmtId="0" fontId="100" fillId="0" borderId="0"/>
    <xf numFmtId="0" fontId="93" fillId="0" borderId="0"/>
    <xf numFmtId="180" fontId="218" fillId="0" borderId="0" applyFill="0" applyBorder="0" applyAlignment="0"/>
    <xf numFmtId="0" fontId="111" fillId="22" borderId="200" applyNumberFormat="0" applyAlignment="0" applyProtection="0"/>
    <xf numFmtId="0" fontId="112" fillId="22" borderId="200" applyNumberFormat="0" applyAlignment="0" applyProtection="0"/>
    <xf numFmtId="0" fontId="95" fillId="37" borderId="201" applyNumberFormat="0" applyFont="0" applyAlignment="0" applyProtection="0"/>
    <xf numFmtId="0" fontId="113" fillId="38" borderId="202" applyNumberFormat="0" applyAlignment="0" applyProtection="0"/>
    <xf numFmtId="0" fontId="114" fillId="38" borderId="202" applyNumberFormat="0" applyAlignment="0" applyProtection="0"/>
    <xf numFmtId="181" fontId="105" fillId="0" borderId="0"/>
    <xf numFmtId="0" fontId="115" fillId="0" borderId="0"/>
    <xf numFmtId="2" fontId="218" fillId="0" borderId="151"/>
    <xf numFmtId="182" fontId="218" fillId="0" borderId="0" applyFont="0" applyFill="0" applyBorder="0" applyAlignment="0" applyProtection="0"/>
    <xf numFmtId="173" fontId="25" fillId="0" borderId="0" applyFont="0" applyFill="0" applyBorder="0" applyAlignment="0" applyProtection="0"/>
    <xf numFmtId="173" fontId="94" fillId="0" borderId="0" applyFont="0" applyFill="0" applyBorder="0" applyAlignment="0" applyProtection="0"/>
    <xf numFmtId="173" fontId="116" fillId="0" borderId="0" applyFont="0" applyFill="0" applyBorder="0" applyAlignment="0" applyProtection="0"/>
    <xf numFmtId="0" fontId="218" fillId="0" borderId="0" applyFont="0" applyFill="0" applyBorder="0" applyAlignment="0" applyProtection="0"/>
    <xf numFmtId="183" fontId="218" fillId="0" borderId="0" applyFont="0" applyFill="0" applyBorder="0" applyAlignment="0" applyProtection="0"/>
    <xf numFmtId="184" fontId="218" fillId="0" borderId="0" applyFont="0" applyFill="0" applyBorder="0" applyAlignment="0" applyProtection="0"/>
    <xf numFmtId="174" fontId="116" fillId="0" borderId="0"/>
    <xf numFmtId="41" fontId="95" fillId="0" borderId="0" applyFont="0" applyFill="0" applyBorder="0" applyAlignment="0" applyProtection="0"/>
    <xf numFmtId="173" fontId="5" fillId="0" borderId="0" applyFont="0" applyFill="0" applyBorder="0" applyAlignment="0" applyProtection="0"/>
    <xf numFmtId="173" fontId="117" fillId="0" borderId="0" applyFont="0" applyFill="0" applyBorder="0" applyAlignment="0" applyProtection="0"/>
    <xf numFmtId="185" fontId="218" fillId="0" borderId="0" applyFont="0" applyFill="0" applyBorder="0" applyAlignment="0" applyProtection="0"/>
    <xf numFmtId="173" fontId="118" fillId="0" borderId="0" applyFont="0" applyFill="0" applyBorder="0" applyAlignment="0" applyProtection="0"/>
    <xf numFmtId="173" fontId="95" fillId="0" borderId="0" applyFont="0" applyFill="0" applyBorder="0" applyAlignment="0" applyProtection="0"/>
    <xf numFmtId="174" fontId="218" fillId="0" borderId="0" applyFont="0" applyFill="0" applyBorder="0" applyAlignment="0" applyProtection="0"/>
    <xf numFmtId="41" fontId="94" fillId="0" borderId="0" applyFont="0" applyFill="0" applyBorder="0" applyAlignment="0" applyProtection="0"/>
    <xf numFmtId="173" fontId="87" fillId="0" borderId="0" applyFont="0" applyFill="0" applyBorder="0" applyAlignment="0" applyProtection="0"/>
    <xf numFmtId="186" fontId="218" fillId="0" borderId="0" applyFont="0" applyFill="0" applyBorder="0" applyAlignment="0" applyProtection="0"/>
    <xf numFmtId="173" fontId="119" fillId="0" borderId="151" applyBorder="0" applyAlignment="0"/>
    <xf numFmtId="173" fontId="218" fillId="0" borderId="0"/>
    <xf numFmtId="166" fontId="120" fillId="0" borderId="0" applyFont="0" applyFill="0" applyBorder="0" applyAlignment="0" applyProtection="0"/>
    <xf numFmtId="43" fontId="94" fillId="0" borderId="0" applyFont="0" applyFill="0" applyBorder="0" applyAlignment="0" applyProtection="0"/>
    <xf numFmtId="187" fontId="218" fillId="0" borderId="0" applyFont="0" applyFill="0" applyBorder="0" applyAlignment="0" applyProtection="0"/>
    <xf numFmtId="43" fontId="121" fillId="0" borderId="0" applyFont="0" applyFill="0" applyBorder="0" applyAlignment="0" applyProtection="0"/>
    <xf numFmtId="174" fontId="94" fillId="0" borderId="0" applyFont="0" applyFill="0" applyBorder="0" applyAlignment="0" applyProtection="0"/>
    <xf numFmtId="174" fontId="122" fillId="0" borderId="0" applyFont="0" applyFill="0" applyBorder="0" applyAlignment="0" applyProtection="0"/>
    <xf numFmtId="188" fontId="218" fillId="0" borderId="0" applyFont="0" applyFill="0" applyBorder="0" applyAlignment="0" applyProtection="0"/>
    <xf numFmtId="189" fontId="218" fillId="0" borderId="0" applyFont="0" applyFill="0" applyBorder="0" applyAlignment="0" applyProtection="0"/>
    <xf numFmtId="189" fontId="218" fillId="0" borderId="0"/>
    <xf numFmtId="174" fontId="218" fillId="0" borderId="84" applyFont="0" applyFill="0" applyAlignment="0" applyProtection="0"/>
    <xf numFmtId="190" fontId="218" fillId="0" borderId="0" applyFont="0" applyFill="0" applyBorder="0" applyAlignment="0" applyProtection="0"/>
    <xf numFmtId="191" fontId="218" fillId="0" borderId="0" applyFont="0" applyFill="0" applyBorder="0" applyAlignment="0" applyProtection="0"/>
    <xf numFmtId="174" fontId="123" fillId="0" borderId="0" applyFont="0" applyFill="0" applyBorder="0" applyAlignment="0" applyProtection="0"/>
    <xf numFmtId="174" fontId="5" fillId="0" borderId="0" applyFont="0" applyFill="0" applyBorder="0" applyAlignment="0" applyProtection="0"/>
    <xf numFmtId="174" fontId="117" fillId="0" borderId="0" applyFont="0" applyFill="0" applyBorder="0" applyAlignment="0" applyProtection="0"/>
    <xf numFmtId="174" fontId="218" fillId="0" borderId="0" applyFill="0" applyBorder="0" applyAlignment="0" applyProtection="0"/>
    <xf numFmtId="174" fontId="91" fillId="0" borderId="0" applyFont="0" applyFill="0" applyBorder="0" applyAlignment="0" applyProtection="0"/>
    <xf numFmtId="192" fontId="218" fillId="0" borderId="0" applyFont="0" applyFill="0" applyBorder="0" applyAlignment="0" applyProtection="0"/>
    <xf numFmtId="193" fontId="218" fillId="0" borderId="0" applyFont="0" applyFill="0" applyBorder="0" applyAlignment="0" applyProtection="0"/>
    <xf numFmtId="174" fontId="95" fillId="0" borderId="0" applyFont="0" applyFill="0" applyBorder="0" applyAlignment="0" applyProtection="0"/>
    <xf numFmtId="194" fontId="218" fillId="0" borderId="0" applyFont="0" applyFill="0" applyBorder="0" applyAlignment="0" applyProtection="0"/>
    <xf numFmtId="43" fontId="95" fillId="0" borderId="0" applyFont="0" applyFill="0" applyBorder="0" applyAlignment="0" applyProtection="0"/>
    <xf numFmtId="174" fontId="25" fillId="0" borderId="0" applyFont="0" applyFill="0" applyBorder="0" applyAlignment="0" applyProtection="0"/>
    <xf numFmtId="195" fontId="218" fillId="0" borderId="0" applyFont="0" applyFill="0" applyBorder="0" applyAlignment="0" applyProtection="0"/>
    <xf numFmtId="43" fontId="117" fillId="0" borderId="0" applyFont="0" applyFill="0" applyBorder="0" applyAlignment="0" applyProtection="0"/>
    <xf numFmtId="196" fontId="218" fillId="0" borderId="0" applyFill="0" applyBorder="0" applyAlignment="0" applyProtection="0"/>
    <xf numFmtId="43" fontId="25" fillId="0" borderId="0" applyFont="0" applyFill="0" applyBorder="0" applyAlignment="0" applyProtection="0"/>
    <xf numFmtId="174" fontId="218" fillId="0" borderId="0"/>
    <xf numFmtId="174" fontId="124" fillId="0" borderId="151" applyBorder="0"/>
    <xf numFmtId="3" fontId="122" fillId="0" borderId="0" applyFont="0" applyFill="0" applyBorder="0" applyAlignment="0" applyProtection="0"/>
    <xf numFmtId="0" fontId="125" fillId="0" borderId="0" applyNumberFormat="0" applyAlignment="0">
      <alignment horizontal="left"/>
    </xf>
    <xf numFmtId="197" fontId="126" fillId="0" borderId="0" applyFill="0">
      <alignment horizontal="left" vertical="top"/>
      <protection locked="0"/>
    </xf>
    <xf numFmtId="175" fontId="117" fillId="0" borderId="0" applyFont="0" applyFill="0" applyBorder="0" applyAlignment="0" applyProtection="0"/>
    <xf numFmtId="198" fontId="117" fillId="0" borderId="0" applyFont="0" applyFill="0" applyBorder="0" applyAlignment="0" applyProtection="0"/>
    <xf numFmtId="189" fontId="117" fillId="0" borderId="0" applyFont="0" applyFill="0" applyBorder="0" applyAlignment="0" applyProtection="0"/>
    <xf numFmtId="198" fontId="218" fillId="0" borderId="0" applyFont="0" applyFill="0" applyBorder="0" applyAlignment="0" applyProtection="0"/>
    <xf numFmtId="199" fontId="218" fillId="0" borderId="0" applyFont="0" applyFill="0" applyBorder="0" applyAlignment="0" applyProtection="0"/>
    <xf numFmtId="200" fontId="25" fillId="0" borderId="0" applyFont="0" applyFill="0" applyBorder="0" applyAlignment="0" applyProtection="0"/>
    <xf numFmtId="201" fontId="218" fillId="0" borderId="0" applyFont="0" applyFill="0" applyBorder="0" applyAlignment="0" applyProtection="0"/>
    <xf numFmtId="202" fontId="218" fillId="0" borderId="0" applyFont="0" applyFill="0" applyBorder="0" applyAlignment="0" applyProtection="0"/>
    <xf numFmtId="198" fontId="95" fillId="0" borderId="0" applyFont="0" applyFill="0" applyBorder="0" applyAlignment="0" applyProtection="0"/>
    <xf numFmtId="203" fontId="218" fillId="0" borderId="0" applyFont="0" applyFill="0" applyBorder="0" applyAlignment="0" applyProtection="0"/>
    <xf numFmtId="198" fontId="116" fillId="0" borderId="0" applyFont="0" applyFill="0" applyBorder="0" applyAlignment="0" applyProtection="0"/>
    <xf numFmtId="204" fontId="218" fillId="0" borderId="0" applyFont="0" applyFill="0" applyBorder="0" applyAlignment="0"/>
    <xf numFmtId="205" fontId="218" fillId="0" borderId="0" applyFont="0" applyFill="0" applyBorder="0" applyAlignment="0"/>
    <xf numFmtId="206" fontId="218" fillId="0" borderId="0" applyFont="0" applyFill="0" applyBorder="0" applyAlignment="0" applyProtection="0"/>
    <xf numFmtId="207" fontId="218" fillId="0" borderId="0" applyFont="0" applyFill="0" applyBorder="0" applyAlignment="0" applyProtection="0"/>
    <xf numFmtId="207" fontId="95" fillId="0" borderId="0" applyFont="0" applyFill="0" applyBorder="0" applyAlignment="0" applyProtection="0"/>
    <xf numFmtId="208" fontId="95" fillId="0" borderId="0" applyFont="0" applyFill="0" applyBorder="0" applyAlignment="0" applyProtection="0"/>
    <xf numFmtId="207" fontId="25" fillId="0" borderId="0" applyFont="0" applyFill="0" applyBorder="0" applyAlignment="0" applyProtection="0"/>
    <xf numFmtId="184" fontId="122" fillId="0" borderId="0" applyFont="0" applyFill="0" applyBorder="0" applyAlignment="0" applyProtection="0"/>
    <xf numFmtId="0" fontId="127" fillId="0" borderId="0" applyNumberFormat="0" applyFont="0" applyFill="0" applyBorder="0" applyAlignment="0" applyProtection="0"/>
    <xf numFmtId="209" fontId="128" fillId="0" borderId="0"/>
    <xf numFmtId="0" fontId="127" fillId="0" borderId="35" applyNumberFormat="0" applyFont="0" applyFill="0" applyAlignment="0" applyProtection="0"/>
    <xf numFmtId="209" fontId="128" fillId="0" borderId="133"/>
    <xf numFmtId="0" fontId="122" fillId="0" borderId="0" applyFont="0" applyFill="0" applyBorder="0" applyAlignment="0" applyProtection="0"/>
    <xf numFmtId="15" fontId="92" fillId="0" borderId="0" applyFill="0" applyBorder="0" applyAlignment="0"/>
    <xf numFmtId="210" fontId="129" fillId="0" borderId="0" applyFont="0" applyFill="0" applyBorder="0" applyAlignment="0" applyProtection="0"/>
    <xf numFmtId="210" fontId="129" fillId="0" borderId="149" applyFont="0" applyFill="0" applyBorder="0" applyAlignment="0" applyProtection="0"/>
    <xf numFmtId="17" fontId="92" fillId="0" borderId="0" applyFill="0" applyBorder="0">
      <alignment horizontal="right"/>
    </xf>
    <xf numFmtId="14" fontId="218" fillId="0" borderId="0" applyFont="0" applyFill="0" applyBorder="0" applyAlignment="0" applyProtection="0"/>
    <xf numFmtId="0" fontId="218" fillId="0" borderId="0" applyNumberFormat="0">
      <alignment horizontal="centerContinuous"/>
    </xf>
    <xf numFmtId="172" fontId="218" fillId="0" borderId="0">
      <alignment horizontal="center"/>
    </xf>
    <xf numFmtId="211" fontId="130" fillId="0" borderId="0" applyFont="0" applyFill="0">
      <alignment horizontal="left" vertical="top" wrapText="1"/>
      <protection locked="0"/>
    </xf>
    <xf numFmtId="212" fontId="131" fillId="0" borderId="0" applyFont="0" applyFill="0" applyBorder="0" applyAlignment="0" applyProtection="0"/>
    <xf numFmtId="191" fontId="131" fillId="0" borderId="0" applyFont="0" applyFill="0" applyBorder="0" applyAlignment="0" applyProtection="0"/>
    <xf numFmtId="0" fontId="218" fillId="0" borderId="0">
      <alignment vertical="center"/>
    </xf>
    <xf numFmtId="0" fontId="132" fillId="39" borderId="0" applyNumberFormat="0" applyBorder="0" applyAlignment="0" applyProtection="0"/>
    <xf numFmtId="0" fontId="132" fillId="40" borderId="0" applyNumberFormat="0" applyBorder="0" applyAlignment="0" applyProtection="0"/>
    <xf numFmtId="0" fontId="133" fillId="0" borderId="0" applyNumberFormat="0" applyAlignment="0">
      <alignment horizontal="left"/>
    </xf>
    <xf numFmtId="213" fontId="218" fillId="0" borderId="0" applyFont="0" applyFill="0" applyBorder="0" applyAlignment="0" applyProtection="0"/>
    <xf numFmtId="214" fontId="218" fillId="0" borderId="0" applyFill="0" applyBorder="0" applyAlignment="0" applyProtection="0"/>
    <xf numFmtId="215" fontId="218" fillId="0" borderId="0"/>
    <xf numFmtId="0" fontId="12" fillId="0" borderId="0"/>
    <xf numFmtId="0" fontId="134" fillId="0" borderId="0" applyNumberFormat="0" applyFill="0" applyBorder="0" applyAlignment="0" applyProtection="0"/>
    <xf numFmtId="0" fontId="135" fillId="0" borderId="0" applyNumberFormat="0" applyFill="0" applyBorder="0" applyAlignment="0" applyProtection="0"/>
    <xf numFmtId="0" fontId="136" fillId="0" borderId="0">
      <protection locked="0"/>
    </xf>
    <xf numFmtId="2" fontId="122" fillId="0" borderId="0" applyFont="0" applyFill="0" applyBorder="0" applyAlignment="0" applyProtection="0"/>
    <xf numFmtId="216" fontId="129" fillId="0" borderId="0" applyFont="0" applyFill="0" applyBorder="0" applyAlignment="0"/>
    <xf numFmtId="2" fontId="218" fillId="0" borderId="0" applyFont="0" applyFill="0" applyBorder="0" applyAlignment="0" applyProtection="0"/>
    <xf numFmtId="217" fontId="137" fillId="0" borderId="0" applyFont="0">
      <alignment horizontal="left"/>
      <protection locked="0"/>
    </xf>
    <xf numFmtId="4" fontId="131" fillId="0" borderId="0"/>
    <xf numFmtId="0" fontId="138" fillId="18" borderId="0" applyNumberFormat="0" applyBorder="0" applyAlignment="0" applyProtection="0"/>
    <xf numFmtId="166" fontId="91" fillId="22" borderId="0" applyNumberFormat="0" applyBorder="0" applyAlignment="0" applyProtection="0"/>
    <xf numFmtId="218" fontId="218" fillId="0" borderId="18" applyFont="0" applyFill="0" applyBorder="0" applyAlignment="0"/>
    <xf numFmtId="218" fontId="130" fillId="0" borderId="125" applyFont="0" applyFill="0" applyAlignment="0"/>
    <xf numFmtId="197" fontId="139" fillId="0" borderId="0">
      <alignment horizontal="left"/>
    </xf>
    <xf numFmtId="0" fontId="140" fillId="41" borderId="98"/>
    <xf numFmtId="0" fontId="141" fillId="0" borderId="203" applyNumberFormat="0" applyAlignment="0" applyProtection="0">
      <alignment horizontal="left"/>
    </xf>
    <xf numFmtId="0" fontId="141" fillId="0" borderId="203" applyNumberFormat="0" applyAlignment="0" applyProtection="0">
      <alignment horizontal="left" vertical="center"/>
    </xf>
    <xf numFmtId="0" fontId="141" fillId="0" borderId="33">
      <alignment horizontal="left"/>
    </xf>
    <xf numFmtId="0" fontId="141" fillId="0" borderId="33">
      <alignment horizontal="left" vertical="center"/>
    </xf>
    <xf numFmtId="0" fontId="44" fillId="42" borderId="204">
      <alignment vertical="center" wrapText="1"/>
    </xf>
    <xf numFmtId="0" fontId="142" fillId="0" borderId="205" applyNumberFormat="0" applyFill="0" applyAlignment="0" applyProtection="0"/>
    <xf numFmtId="0" fontId="143" fillId="0" borderId="205" applyNumberFormat="0" applyFill="0" applyAlignment="0" applyProtection="0"/>
    <xf numFmtId="0" fontId="144" fillId="0" borderId="0" applyNumberFormat="0" applyFill="0" applyBorder="0" applyAlignment="0" applyProtection="0"/>
    <xf numFmtId="0" fontId="145" fillId="0" borderId="206" applyNumberFormat="0" applyFill="0" applyAlignment="0" applyProtection="0"/>
    <xf numFmtId="0" fontId="146" fillId="0" borderId="206" applyNumberFormat="0" applyFill="0" applyAlignment="0" applyProtection="0"/>
    <xf numFmtId="0" fontId="147" fillId="0" borderId="0" applyNumberFormat="0" applyFill="0" applyBorder="0" applyAlignment="0" applyProtection="0"/>
    <xf numFmtId="0" fontId="148" fillId="0" borderId="207" applyNumberFormat="0" applyFill="0" applyAlignment="0" applyProtection="0"/>
    <xf numFmtId="0" fontId="149" fillId="0" borderId="207" applyNumberFormat="0" applyFill="0" applyAlignment="0" applyProtection="0"/>
    <xf numFmtId="0" fontId="148" fillId="0" borderId="0" applyNumberFormat="0" applyFill="0" applyBorder="0" applyAlignment="0" applyProtection="0"/>
    <xf numFmtId="0" fontId="149" fillId="0" borderId="0" applyNumberFormat="0" applyFill="0" applyBorder="0" applyAlignment="0" applyProtection="0"/>
    <xf numFmtId="168" fontId="150" fillId="0" borderId="0">
      <protection locked="0"/>
    </xf>
    <xf numFmtId="168" fontId="151" fillId="0" borderId="0">
      <protection locked="0"/>
    </xf>
    <xf numFmtId="0" fontId="152" fillId="0" borderId="5">
      <alignment horizontal="center"/>
    </xf>
    <xf numFmtId="0" fontId="152" fillId="0" borderId="0">
      <alignment horizontal="center"/>
    </xf>
    <xf numFmtId="0" fontId="153"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55" fillId="0" borderId="178"/>
    <xf numFmtId="10" fontId="91" fillId="37" borderId="35" applyNumberFormat="0" applyBorder="0" applyAlignment="0" applyProtection="0"/>
    <xf numFmtId="0" fontId="156" fillId="21" borderId="200" applyNumberFormat="0" applyAlignment="0" applyProtection="0"/>
    <xf numFmtId="0" fontId="157" fillId="21" borderId="200" applyNumberFormat="0" applyAlignment="0" applyProtection="0"/>
    <xf numFmtId="0" fontId="156" fillId="22" borderId="200" applyNumberFormat="0" applyAlignment="0" applyProtection="0"/>
    <xf numFmtId="205" fontId="91" fillId="37" borderId="0" applyFont="0" applyBorder="0" applyAlignment="0" applyProtection="0">
      <protection locked="0"/>
    </xf>
    <xf numFmtId="15" fontId="91" fillId="37" borderId="0" applyFont="0" applyBorder="0" applyAlignment="0" applyProtection="0">
      <protection locked="0"/>
    </xf>
    <xf numFmtId="216" fontId="129" fillId="37" borderId="0" applyFont="0" applyBorder="0" applyAlignment="0">
      <protection locked="0"/>
    </xf>
    <xf numFmtId="166" fontId="91" fillId="37" borderId="0">
      <protection locked="0"/>
    </xf>
    <xf numFmtId="219" fontId="129" fillId="37" borderId="0" applyFont="0" applyBorder="0" applyAlignment="0">
      <protection locked="0"/>
    </xf>
    <xf numFmtId="10" fontId="91" fillId="37" borderId="0">
      <protection locked="0"/>
    </xf>
    <xf numFmtId="220" fontId="91" fillId="37" borderId="0" applyFont="0" applyBorder="0" applyAlignment="0">
      <protection locked="0"/>
    </xf>
    <xf numFmtId="221" fontId="158" fillId="37" borderId="0" applyNumberFormat="0" applyBorder="0" applyAlignment="0">
      <protection locked="0"/>
    </xf>
    <xf numFmtId="0" fontId="159" fillId="0" borderId="0" applyNumberFormat="0" applyFill="0" applyBorder="0" applyAlignment="0" applyProtection="0"/>
    <xf numFmtId="197" fontId="137" fillId="0" borderId="0" applyFont="0">
      <alignment horizontal="left"/>
    </xf>
    <xf numFmtId="197" fontId="218" fillId="0" borderId="0">
      <alignment horizontal="left"/>
    </xf>
    <xf numFmtId="0" fontId="160" fillId="22" borderId="208" applyNumberFormat="0" applyAlignment="0" applyProtection="0"/>
    <xf numFmtId="0" fontId="161" fillId="0" borderId="151" applyNumberFormat="0" applyFont="0" applyFill="0" applyBorder="0" applyAlignment="0" applyProtection="0">
      <protection locked="0" hidden="1"/>
    </xf>
    <xf numFmtId="197" fontId="137" fillId="0" borderId="0" applyFont="0" applyFill="0" applyBorder="0">
      <alignment horizontal="left"/>
    </xf>
    <xf numFmtId="197" fontId="218" fillId="0" borderId="0" applyFill="0" applyBorder="0">
      <alignment horizontal="left"/>
    </xf>
    <xf numFmtId="0" fontId="92" fillId="0" borderId="35" applyNumberFormat="0" applyAlignment="0" applyProtection="0"/>
    <xf numFmtId="209" fontId="162" fillId="43" borderId="133"/>
    <xf numFmtId="165" fontId="91" fillId="0" borderId="0" applyFont="0">
      <protection locked="0"/>
    </xf>
    <xf numFmtId="0" fontId="163" fillId="0" borderId="209" applyNumberFormat="0" applyFill="0" applyAlignment="0" applyProtection="0"/>
    <xf numFmtId="0" fontId="164" fillId="0" borderId="209" applyNumberFormat="0" applyFill="0" applyAlignment="0" applyProtection="0"/>
    <xf numFmtId="169" fontId="165" fillId="0" borderId="125"/>
    <xf numFmtId="0" fontId="166" fillId="0" borderId="18">
      <alignment horizontal="center"/>
    </xf>
    <xf numFmtId="0" fontId="166" fillId="0" borderId="125">
      <alignment horizontal="center"/>
    </xf>
    <xf numFmtId="211" fontId="167" fillId="0" borderId="0">
      <alignment horizontal="left" vertical="top"/>
      <protection locked="0"/>
    </xf>
    <xf numFmtId="211" fontId="91" fillId="0" borderId="0" applyFont="0"/>
    <xf numFmtId="166" fontId="108" fillId="0" borderId="0" applyFont="0" applyFill="0" applyBorder="0" applyAlignment="0" applyProtection="0"/>
    <xf numFmtId="165" fontId="108" fillId="0" borderId="0" applyFont="0" applyFill="0" applyBorder="0" applyAlignment="0" applyProtection="0"/>
    <xf numFmtId="194" fontId="108" fillId="0" borderId="0" applyFont="0" applyFill="0" applyBorder="0" applyAlignment="0" applyProtection="0"/>
    <xf numFmtId="222" fontId="108" fillId="0" borderId="0" applyFont="0" applyFill="0" applyBorder="0" applyAlignment="0" applyProtection="0"/>
    <xf numFmtId="223" fontId="129" fillId="22" borderId="0" applyFont="0" applyBorder="0" applyAlignment="0" applyProtection="0">
      <alignment horizontal="right"/>
      <protection hidden="1"/>
    </xf>
    <xf numFmtId="0" fontId="168" fillId="42" borderId="0" applyNumberFormat="0" applyBorder="0" applyAlignment="0" applyProtection="0"/>
    <xf numFmtId="0" fontId="169" fillId="42" borderId="0" applyNumberFormat="0" applyBorder="0" applyAlignment="0" applyProtection="0"/>
    <xf numFmtId="49" fontId="123" fillId="0" borderId="15" applyFont="0" applyBorder="0" applyAlignment="0">
      <alignment vertical="center"/>
    </xf>
    <xf numFmtId="181" fontId="170" fillId="0" borderId="0"/>
    <xf numFmtId="183" fontId="171" fillId="0" borderId="0"/>
    <xf numFmtId="183" fontId="171" fillId="0" borderId="0"/>
    <xf numFmtId="0" fontId="172" fillId="0" borderId="0"/>
    <xf numFmtId="0" fontId="87" fillId="0" borderId="0"/>
    <xf numFmtId="1" fontId="173" fillId="0" borderId="35"/>
    <xf numFmtId="166" fontId="91" fillId="0" borderId="0" applyFont="0" applyFill="0" applyBorder="0" applyAlignment="0"/>
    <xf numFmtId="221" fontId="218" fillId="0" borderId="0" applyFont="0" applyFill="0" applyBorder="0" applyAlignment="0"/>
    <xf numFmtId="165" fontId="91" fillId="0" borderId="0" applyFont="0" applyFill="0" applyBorder="0" applyAlignment="0"/>
    <xf numFmtId="224" fontId="91" fillId="0" borderId="0" applyFont="0" applyFill="0" applyBorder="0" applyAlignment="0"/>
    <xf numFmtId="0" fontId="122" fillId="0" borderId="0" applyNumberFormat="0" applyAlignment="0"/>
    <xf numFmtId="0" fontId="174" fillId="0" borderId="0"/>
    <xf numFmtId="0" fontId="109" fillId="0" borderId="0"/>
    <xf numFmtId="225" fontId="218" fillId="0" borderId="0"/>
    <xf numFmtId="0" fontId="95" fillId="0" borderId="0"/>
    <xf numFmtId="226" fontId="218" fillId="0" borderId="0"/>
    <xf numFmtId="0" fontId="116" fillId="0" borderId="0"/>
    <xf numFmtId="181" fontId="109" fillId="0" borderId="0"/>
    <xf numFmtId="0" fontId="117" fillId="0" borderId="0"/>
    <xf numFmtId="183" fontId="218" fillId="0" borderId="0"/>
    <xf numFmtId="0" fontId="218" fillId="0" borderId="0" applyNumberFormat="0" applyFont="0" applyFill="0" applyBorder="0" applyAlignment="0" applyProtection="0">
      <alignment vertical="top"/>
    </xf>
    <xf numFmtId="0" fontId="25" fillId="0" borderId="0"/>
    <xf numFmtId="0" fontId="25" fillId="0" borderId="0"/>
    <xf numFmtId="0" fontId="25" fillId="0" borderId="0"/>
    <xf numFmtId="184" fontId="109" fillId="0" borderId="0"/>
    <xf numFmtId="0" fontId="5" fillId="0" borderId="0"/>
    <xf numFmtId="182" fontId="109" fillId="0" borderId="0"/>
    <xf numFmtId="0" fontId="218" fillId="0" borderId="0" applyProtection="0"/>
    <xf numFmtId="0" fontId="25" fillId="0" borderId="0">
      <alignment vertical="center"/>
    </xf>
    <xf numFmtId="0" fontId="175" fillId="0" borderId="0" applyNumberFormat="0" applyFill="0" applyBorder="0" applyProtection="0">
      <alignment vertical="top" wrapText="1"/>
    </xf>
    <xf numFmtId="0" fontId="176" fillId="0" borderId="0"/>
    <xf numFmtId="0" fontId="122" fillId="0" borderId="0"/>
    <xf numFmtId="227" fontId="109" fillId="0" borderId="0"/>
    <xf numFmtId="0" fontId="177" fillId="0" borderId="0"/>
    <xf numFmtId="0" fontId="173" fillId="0" borderId="0"/>
    <xf numFmtId="0" fontId="91" fillId="0" borderId="0"/>
    <xf numFmtId="0" fontId="166" fillId="0" borderId="0"/>
    <xf numFmtId="228" fontId="218" fillId="0" borderId="0"/>
    <xf numFmtId="0" fontId="109" fillId="0" borderId="0">
      <alignment vertical="center"/>
    </xf>
    <xf numFmtId="0" fontId="218" fillId="0" borderId="0"/>
    <xf numFmtId="185" fontId="109" fillId="0" borderId="0"/>
    <xf numFmtId="198" fontId="218" fillId="0" borderId="0"/>
    <xf numFmtId="193" fontId="109" fillId="0" borderId="0"/>
    <xf numFmtId="0" fontId="178" fillId="0" borderId="0" applyNumberFormat="0" applyFill="0" applyBorder="0" applyProtection="0">
      <alignment horizontal="left" vertical="top" wrapText="1"/>
    </xf>
    <xf numFmtId="0" fontId="1" fillId="0" borderId="0"/>
    <xf numFmtId="221" fontId="92" fillId="0" borderId="0" applyNumberFormat="0" applyFill="0" applyBorder="0" applyAlignment="0" applyProtection="0"/>
    <xf numFmtId="229" fontId="129" fillId="0" borderId="0" applyFont="0" applyFill="0" applyBorder="0" applyAlignment="0" applyProtection="0"/>
    <xf numFmtId="0" fontId="40" fillId="0" borderId="0"/>
    <xf numFmtId="0" fontId="94" fillId="0" borderId="0"/>
    <xf numFmtId="0" fontId="179" fillId="44" borderId="210" applyBorder="0">
      <alignment horizontal="center" vertical="justify"/>
    </xf>
    <xf numFmtId="0" fontId="218" fillId="37" borderId="201" applyNumberFormat="0" applyFont="0" applyAlignment="0" applyProtection="0"/>
    <xf numFmtId="230" fontId="218" fillId="0" borderId="0" applyFont="0" applyFill="0" applyBorder="0" applyAlignment="0" applyProtection="0"/>
    <xf numFmtId="217" fontId="91" fillId="0" borderId="0" applyFont="0">
      <protection locked="0"/>
    </xf>
    <xf numFmtId="3" fontId="44" fillId="0" borderId="211" applyFont="0" applyBorder="0" applyAlignment="0">
      <alignment horizontal="center"/>
    </xf>
    <xf numFmtId="0" fontId="180" fillId="22" borderId="208" applyNumberFormat="0" applyAlignment="0" applyProtection="0"/>
    <xf numFmtId="231" fontId="218" fillId="0" borderId="0"/>
    <xf numFmtId="14" fontId="101" fillId="0" borderId="0">
      <alignment horizontal="center" wrapText="1"/>
      <protection locked="0"/>
    </xf>
    <xf numFmtId="232" fontId="129" fillId="0" borderId="0" applyFont="0" applyFill="0" applyBorder="0" applyAlignment="0"/>
    <xf numFmtId="219" fontId="129" fillId="0" borderId="0" applyFont="0" applyFill="0" applyBorder="0" applyAlignment="0"/>
    <xf numFmtId="10" fontId="218" fillId="0" borderId="0" applyFont="0" applyFill="0" applyBorder="0" applyAlignment="0" applyProtection="0"/>
    <xf numFmtId="9" fontId="94" fillId="0" borderId="0" applyFont="0" applyFill="0" applyBorder="0" applyAlignment="0" applyProtection="0"/>
    <xf numFmtId="9" fontId="121" fillId="0" borderId="0" applyFont="0" applyFill="0" applyBorder="0" applyAlignment="0" applyProtection="0"/>
    <xf numFmtId="9" fontId="176" fillId="0" borderId="0" applyFont="0" applyFill="0" applyBorder="0" applyAlignment="0" applyProtection="0"/>
    <xf numFmtId="9" fontId="95" fillId="0" borderId="0" applyFont="0" applyFill="0" applyBorder="0" applyAlignment="0" applyProtection="0"/>
    <xf numFmtId="9" fontId="116" fillId="0" borderId="0"/>
    <xf numFmtId="9" fontId="87" fillId="0" borderId="0" applyFont="0" applyFill="0" applyBorder="0" applyAlignment="0" applyProtection="0"/>
    <xf numFmtId="9" fontId="122" fillId="0" borderId="0" applyFont="0" applyFill="0" applyBorder="0" applyAlignment="0" applyProtection="0"/>
    <xf numFmtId="9" fontId="116" fillId="0" borderId="0" applyFont="0" applyFill="0" applyBorder="0" applyAlignment="0" applyProtection="0"/>
    <xf numFmtId="9" fontId="25" fillId="0" borderId="0" applyFont="0" applyFill="0" applyBorder="0" applyAlignment="0" applyProtection="0"/>
    <xf numFmtId="9" fontId="108" fillId="0" borderId="2" applyNumberFormat="0" applyBorder="0"/>
    <xf numFmtId="233" fontId="218" fillId="0" borderId="0" applyFont="0" applyFill="0" applyBorder="0" applyAlignment="0" applyProtection="0"/>
    <xf numFmtId="0" fontId="105" fillId="0" borderId="0" applyNumberFormat="0" applyFill="0" applyBorder="0" applyAlignment="0"/>
    <xf numFmtId="169" fontId="181" fillId="45" borderId="133"/>
    <xf numFmtId="165" fontId="137" fillId="0" borderId="0" applyFont="0">
      <protection locked="0"/>
    </xf>
    <xf numFmtId="165" fontId="139" fillId="0" borderId="0" applyFont="0">
      <protection locked="0"/>
    </xf>
    <xf numFmtId="221" fontId="182" fillId="0" borderId="0" applyNumberFormat="0" applyFill="0" applyBorder="0" applyAlignment="0" applyProtection="0">
      <alignment horizontal="left"/>
    </xf>
    <xf numFmtId="0" fontId="183" fillId="46" borderId="0" applyNumberFormat="0" applyFont="0" applyBorder="0" applyAlignment="0">
      <alignment horizontal="center"/>
    </xf>
    <xf numFmtId="234" fontId="184" fillId="0" borderId="0" applyNumberFormat="0" applyFill="0" applyBorder="0" applyAlignment="0" applyProtection="0">
      <alignment horizontal="left"/>
    </xf>
    <xf numFmtId="10" fontId="218" fillId="0" borderId="0">
      <alignment vertical="center" textRotation="90"/>
    </xf>
    <xf numFmtId="211" fontId="185" fillId="0" borderId="0" applyFont="0">
      <alignment horizontal="left"/>
    </xf>
    <xf numFmtId="0" fontId="183" fillId="47" borderId="33" applyNumberFormat="0" applyFont="0" applyAlignment="0">
      <alignment horizontal="center"/>
    </xf>
    <xf numFmtId="0" fontId="186" fillId="0" borderId="0" applyNumberFormat="0" applyFill="0" applyBorder="0" applyAlignment="0" applyProtection="0"/>
    <xf numFmtId="0" fontId="187" fillId="0" borderId="0" applyNumberFormat="0" applyFill="0" applyBorder="0" applyAlignment="0">
      <alignment horizontal="center"/>
    </xf>
    <xf numFmtId="221" fontId="91" fillId="18" borderId="0" applyNumberFormat="0" applyFont="0" applyBorder="0" applyAlignment="0">
      <protection hidden="1"/>
    </xf>
    <xf numFmtId="0" fontId="188" fillId="0" borderId="0"/>
    <xf numFmtId="0" fontId="189" fillId="0" borderId="0" applyNumberFormat="0" applyProtection="0">
      <alignment wrapText="1"/>
      <protection locked="0"/>
    </xf>
    <xf numFmtId="165" fontId="190" fillId="0" borderId="0" applyBorder="0">
      <alignment horizontal="right"/>
    </xf>
    <xf numFmtId="211" fontId="130" fillId="0" borderId="0" applyFont="0">
      <protection locked="0"/>
    </xf>
    <xf numFmtId="211" fontId="137" fillId="0" borderId="0" applyFill="0" applyProtection="0">
      <protection locked="0"/>
    </xf>
    <xf numFmtId="197" fontId="166" fillId="48" borderId="0" applyNumberFormat="0" applyAlignment="0">
      <alignment horizontal="left" vertical="top"/>
    </xf>
    <xf numFmtId="235" fontId="191" fillId="0" borderId="131">
      <alignment horizontal="right" vertical="center"/>
    </xf>
    <xf numFmtId="236" fontId="218" fillId="0" borderId="131">
      <alignment horizontal="right" vertical="center"/>
    </xf>
    <xf numFmtId="237" fontId="218" fillId="0" borderId="32">
      <alignment horizontal="right" vertical="center"/>
    </xf>
    <xf numFmtId="0" fontId="123" fillId="0" borderId="98">
      <alignment vertical="top" wrapText="1"/>
    </xf>
    <xf numFmtId="238" fontId="191" fillId="0" borderId="32">
      <alignment horizontal="right" vertical="center"/>
    </xf>
    <xf numFmtId="3" fontId="218" fillId="0" borderId="35" applyNumberFormat="0" applyFont="0" applyFill="0" applyAlignment="0" applyProtection="0">
      <alignment vertical="center"/>
    </xf>
    <xf numFmtId="0" fontId="192" fillId="0" borderId="0" applyNumberFormat="0" applyFill="0" applyBorder="0" applyAlignment="0" applyProtection="0"/>
    <xf numFmtId="221" fontId="218" fillId="25" borderId="0" applyNumberFormat="0" applyFont="0" applyBorder="0" applyAlignment="0" applyProtection="0"/>
    <xf numFmtId="185" fontId="218" fillId="0" borderId="0" applyFill="0" applyBorder="0" applyAlignment="0" applyProtection="0">
      <alignment horizontal="right"/>
    </xf>
    <xf numFmtId="239" fontId="193" fillId="0" borderId="131">
      <alignment horizontal="center"/>
    </xf>
    <xf numFmtId="0" fontId="194" fillId="0" borderId="0"/>
    <xf numFmtId="0" fontId="218" fillId="0" borderId="0" applyNumberFormat="0" applyBorder="0" applyAlignment="0" applyProtection="0"/>
    <xf numFmtId="209" fontId="195" fillId="31" borderId="0"/>
    <xf numFmtId="0" fontId="196" fillId="0" borderId="0" applyNumberFormat="0" applyFill="0" applyBorder="0" applyAlignment="0" applyProtection="0"/>
    <xf numFmtId="197" fontId="197" fillId="0" borderId="2" applyNumberFormat="0" applyFill="0" applyProtection="0">
      <alignment horizontal="center"/>
    </xf>
    <xf numFmtId="0" fontId="198" fillId="0" borderId="212" applyNumberFormat="0" applyFill="0" applyAlignment="0" applyProtection="0"/>
    <xf numFmtId="0" fontId="199" fillId="0" borderId="212" applyNumberFormat="0" applyFill="0" applyAlignment="0" applyProtection="0"/>
    <xf numFmtId="0" fontId="122" fillId="0" borderId="213" applyNumberFormat="0" applyFont="0" applyFill="0" applyAlignment="0" applyProtection="0"/>
    <xf numFmtId="211" fontId="139" fillId="0" borderId="0"/>
    <xf numFmtId="0" fontId="92" fillId="0" borderId="214" applyNumberFormat="0" applyFill="0" applyAlignment="0" applyProtection="0"/>
    <xf numFmtId="209" fontId="162" fillId="0" borderId="215"/>
    <xf numFmtId="0" fontId="92" fillId="0" borderId="35" applyNumberFormat="0" applyFill="0" applyAlignment="0" applyProtection="0"/>
    <xf numFmtId="209" fontId="162" fillId="0" borderId="133"/>
    <xf numFmtId="4" fontId="87" fillId="0" borderId="0" applyFont="0" applyFill="0" applyBorder="0" applyAlignment="0" applyProtection="0"/>
    <xf numFmtId="9" fontId="200" fillId="49" borderId="0"/>
    <xf numFmtId="240" fontId="137" fillId="0" borderId="0" applyFill="0">
      <alignment horizontal="center"/>
    </xf>
    <xf numFmtId="211" fontId="130" fillId="0" borderId="0" applyFont="0">
      <alignment horizontal="center"/>
      <protection locked="0"/>
    </xf>
    <xf numFmtId="0" fontId="201" fillId="0" borderId="0"/>
    <xf numFmtId="241" fontId="218" fillId="0" borderId="0" applyFont="0" applyFill="0" applyBorder="0" applyAlignment="0" applyProtection="0"/>
    <xf numFmtId="205" fontId="87" fillId="0" borderId="0" applyFont="0" applyFill="0" applyBorder="0" applyAlignment="0" applyProtection="0"/>
    <xf numFmtId="242" fontId="202" fillId="0" borderId="0"/>
    <xf numFmtId="243" fontId="202" fillId="0" borderId="133"/>
    <xf numFmtId="244" fontId="131" fillId="0" borderId="0" applyFont="0" applyFill="0" applyBorder="0" applyAlignment="0" applyProtection="0"/>
    <xf numFmtId="245" fontId="131" fillId="0" borderId="0" applyFont="0" applyFill="0" applyBorder="0" applyAlignment="0" applyProtection="0"/>
    <xf numFmtId="0" fontId="203" fillId="0" borderId="0" applyNumberFormat="0" applyFill="0" applyBorder="0" applyAlignment="0" applyProtection="0"/>
    <xf numFmtId="0" fontId="172" fillId="0" borderId="107"/>
    <xf numFmtId="221" fontId="204" fillId="0" borderId="0" applyNumberFormat="0" applyFill="0" applyBorder="0" applyAlignment="0" applyProtection="0"/>
    <xf numFmtId="41" fontId="205" fillId="0" borderId="0" applyFont="0" applyFill="0" applyBorder="0" applyAlignment="0" applyProtection="0"/>
    <xf numFmtId="43" fontId="205" fillId="0" borderId="0" applyFont="0" applyFill="0" applyBorder="0" applyAlignment="0" applyProtection="0"/>
    <xf numFmtId="241" fontId="205" fillId="0" borderId="0" applyFont="0" applyFill="0" applyBorder="0" applyAlignment="0" applyProtection="0"/>
    <xf numFmtId="246" fontId="205" fillId="0" borderId="0" applyFont="0" applyFill="0" applyBorder="0" applyAlignment="0" applyProtection="0"/>
    <xf numFmtId="0" fontId="205" fillId="0" borderId="0"/>
    <xf numFmtId="165" fontId="206" fillId="0" borderId="0" applyFont="0" applyFill="0" applyBorder="0" applyAlignment="0" applyProtection="0"/>
    <xf numFmtId="166" fontId="206" fillId="0" borderId="0" applyFont="0" applyFill="0" applyBorder="0" applyAlignment="0" applyProtection="0"/>
    <xf numFmtId="0" fontId="206" fillId="0" borderId="0" applyFont="0" applyFill="0" applyBorder="0" applyAlignment="0" applyProtection="0"/>
    <xf numFmtId="0" fontId="207" fillId="0" borderId="0"/>
    <xf numFmtId="247" fontId="218" fillId="0" borderId="0" applyFont="0" applyFill="0" applyBorder="0" applyAlignment="0" applyProtection="0"/>
    <xf numFmtId="248" fontId="218" fillId="0" borderId="0" applyFont="0" applyFill="0" applyBorder="0" applyAlignment="0" applyProtection="0"/>
    <xf numFmtId="249" fontId="208" fillId="0" borderId="0" applyFont="0" applyFill="0" applyBorder="0" applyAlignment="0" applyProtection="0"/>
    <xf numFmtId="250" fontId="208" fillId="0" borderId="0" applyFont="0" applyFill="0" applyBorder="0" applyAlignment="0" applyProtection="0"/>
    <xf numFmtId="0" fontId="209" fillId="0" borderId="0"/>
    <xf numFmtId="0" fontId="210" fillId="0" borderId="0"/>
    <xf numFmtId="0" fontId="211" fillId="0" borderId="0"/>
    <xf numFmtId="166" fontId="212" fillId="0" borderId="0" applyFont="0" applyFill="0" applyBorder="0" applyAlignment="0" applyProtection="0">
      <alignment vertical="center"/>
    </xf>
    <xf numFmtId="0" fontId="212" fillId="0" borderId="0">
      <alignment vertical="center"/>
    </xf>
  </cellStyleXfs>
  <cellXfs count="1346">
    <xf numFmtId="0" fontId="0" fillId="0" borderId="0" xfId="0"/>
    <xf numFmtId="0" fontId="1" fillId="0" borderId="0" xfId="311"/>
    <xf numFmtId="0" fontId="1" fillId="0" borderId="1" xfId="311" applyBorder="1"/>
    <xf numFmtId="0" fontId="1" fillId="0" borderId="2" xfId="311" applyBorder="1"/>
    <xf numFmtId="43" fontId="1" fillId="0" borderId="3" xfId="1" applyFont="1" applyBorder="1"/>
    <xf numFmtId="0" fontId="1" fillId="0" borderId="3" xfId="311" applyBorder="1"/>
    <xf numFmtId="43" fontId="1" fillId="0" borderId="0" xfId="311" applyNumberFormat="1"/>
    <xf numFmtId="0" fontId="1" fillId="0" borderId="4" xfId="311" applyBorder="1"/>
    <xf numFmtId="0" fontId="1" fillId="0" borderId="5" xfId="311" applyBorder="1"/>
    <xf numFmtId="0" fontId="1" fillId="0" borderId="6" xfId="311" applyBorder="1"/>
    <xf numFmtId="0" fontId="2" fillId="0" borderId="7" xfId="0" applyFont="1" applyBorder="1"/>
    <xf numFmtId="0" fontId="2" fillId="0" borderId="8" xfId="0" applyFont="1" applyBorder="1"/>
    <xf numFmtId="0" fontId="2" fillId="0" borderId="9" xfId="0" applyFont="1" applyBorder="1"/>
    <xf numFmtId="0" fontId="1" fillId="0" borderId="10" xfId="311" applyBorder="1"/>
    <xf numFmtId="0" fontId="2" fillId="0" borderId="11" xfId="0" applyFont="1" applyBorder="1"/>
    <xf numFmtId="0" fontId="2" fillId="0" borderId="12" xfId="0" applyFont="1" applyBorder="1"/>
    <xf numFmtId="0" fontId="2" fillId="0" borderId="13" xfId="0" applyFont="1" applyBorder="1"/>
    <xf numFmtId="0" fontId="1" fillId="0" borderId="14" xfId="311" applyBorder="1"/>
    <xf numFmtId="0" fontId="2" fillId="0" borderId="0" xfId="0" applyFont="1" applyAlignment="1">
      <alignment horizontal="justify" vertical="top" wrapText="1"/>
    </xf>
    <xf numFmtId="0" fontId="2" fillId="0" borderId="7" xfId="0" applyFont="1" applyBorder="1" applyAlignment="1">
      <alignment horizontal="justify" vertical="top" wrapText="1"/>
    </xf>
    <xf numFmtId="0" fontId="2" fillId="0" borderId="8" xfId="0" applyFont="1" applyBorder="1" applyAlignment="1">
      <alignment horizontal="justify" vertical="top" wrapText="1"/>
    </xf>
    <xf numFmtId="0" fontId="2" fillId="0" borderId="15" xfId="0" applyFont="1" applyBorder="1" applyAlignment="1">
      <alignment horizontal="justify" vertical="top" wrapText="1"/>
    </xf>
    <xf numFmtId="0" fontId="4" fillId="0" borderId="0" xfId="0" applyFont="1" applyAlignment="1">
      <alignment horizontal="center" vertical="center" shrinkToFit="1"/>
    </xf>
    <xf numFmtId="0" fontId="2" fillId="0" borderId="16" xfId="0" applyFont="1" applyBorder="1" applyAlignment="1">
      <alignment horizontal="justify" vertical="top" wrapText="1"/>
    </xf>
    <xf numFmtId="0" fontId="2" fillId="0" borderId="17" xfId="0" applyFont="1" applyBorder="1" applyAlignment="1">
      <alignment horizontal="justify" vertical="top" wrapText="1"/>
    </xf>
    <xf numFmtId="0" fontId="5" fillId="0" borderId="17" xfId="0" applyFont="1" applyBorder="1" applyAlignment="1">
      <alignment horizontal="center" vertical="top"/>
    </xf>
    <xf numFmtId="0" fontId="6" fillId="0" borderId="15" xfId="0" applyFont="1" applyBorder="1" applyAlignment="1">
      <alignment vertical="top"/>
    </xf>
    <xf numFmtId="0" fontId="6" fillId="0" borderId="0" xfId="0" applyFont="1" applyAlignment="1">
      <alignment vertical="top"/>
    </xf>
    <xf numFmtId="0" fontId="9" fillId="0" borderId="15" xfId="0" applyFont="1" applyBorder="1" applyAlignment="1">
      <alignment vertical="top"/>
    </xf>
    <xf numFmtId="0" fontId="9" fillId="0" borderId="0" xfId="0" applyFont="1" applyAlignment="1">
      <alignment vertical="top"/>
    </xf>
    <xf numFmtId="0" fontId="10" fillId="0" borderId="0" xfId="0" applyFont="1" applyAlignment="1">
      <alignment vertical="top"/>
    </xf>
    <xf numFmtId="0" fontId="10" fillId="0" borderId="15" xfId="0" applyFont="1" applyBorder="1" applyAlignment="1">
      <alignment vertical="top"/>
    </xf>
    <xf numFmtId="251" fontId="10" fillId="0" borderId="0" xfId="0" applyNumberFormat="1" applyFont="1" applyAlignment="1">
      <alignment horizontal="left" vertical="top"/>
    </xf>
    <xf numFmtId="252" fontId="10" fillId="0" borderId="0" xfId="0" applyNumberFormat="1" applyFont="1" applyAlignment="1">
      <alignment vertical="top"/>
    </xf>
    <xf numFmtId="0" fontId="10" fillId="0" borderId="11" xfId="0" applyFont="1" applyBorder="1" applyAlignment="1">
      <alignment vertical="top"/>
    </xf>
    <xf numFmtId="0" fontId="10" fillId="0" borderId="12" xfId="0" applyFont="1" applyBorder="1" applyAlignment="1">
      <alignment vertical="top"/>
    </xf>
    <xf numFmtId="0" fontId="2" fillId="0" borderId="15" xfId="0" applyFont="1" applyBorder="1" applyAlignment="1">
      <alignment vertical="top"/>
    </xf>
    <xf numFmtId="0" fontId="2" fillId="0" borderId="0" xfId="0" applyFont="1" applyAlignment="1">
      <alignment vertical="top"/>
    </xf>
    <xf numFmtId="252" fontId="2" fillId="0" borderId="0" xfId="0" applyNumberFormat="1" applyFont="1" applyAlignment="1">
      <alignment vertical="top"/>
    </xf>
    <xf numFmtId="4" fontId="2" fillId="0" borderId="0" xfId="0" applyNumberFormat="1" applyFont="1" applyAlignment="1">
      <alignment vertical="top"/>
    </xf>
    <xf numFmtId="0" fontId="2" fillId="0" borderId="11" xfId="0" applyFont="1" applyBorder="1" applyAlignment="1">
      <alignment vertical="top"/>
    </xf>
    <xf numFmtId="0" fontId="2" fillId="0" borderId="12" xfId="0" applyFont="1" applyBorder="1" applyAlignment="1">
      <alignment vertical="top"/>
    </xf>
    <xf numFmtId="252" fontId="2" fillId="0" borderId="12" xfId="0" applyNumberFormat="1" applyFont="1" applyBorder="1" applyAlignment="1">
      <alignment vertical="top"/>
    </xf>
    <xf numFmtId="252" fontId="2" fillId="0" borderId="0" xfId="0" applyNumberFormat="1" applyFont="1" applyAlignment="1">
      <alignment horizontal="left" vertical="top" wrapText="1"/>
    </xf>
    <xf numFmtId="0" fontId="2" fillId="0" borderId="0" xfId="0" applyFont="1" applyAlignment="1">
      <alignment horizontal="center" vertical="top"/>
    </xf>
    <xf numFmtId="0" fontId="2" fillId="0" borderId="18" xfId="0" applyFont="1" applyBorder="1" applyAlignment="1">
      <alignment horizontal="justify" vertical="top" wrapText="1"/>
    </xf>
    <xf numFmtId="0" fontId="12" fillId="0" borderId="18" xfId="0" applyFont="1" applyBorder="1" applyAlignment="1">
      <alignment horizontal="right" vertical="top"/>
    </xf>
    <xf numFmtId="0" fontId="9" fillId="0" borderId="18" xfId="0" applyFont="1" applyBorder="1" applyAlignment="1">
      <alignment vertical="top"/>
    </xf>
    <xf numFmtId="0" fontId="10" fillId="0" borderId="18" xfId="0" applyFont="1" applyBorder="1" applyAlignment="1">
      <alignment vertical="top"/>
    </xf>
    <xf numFmtId="0" fontId="10" fillId="0" borderId="13" xfId="0" applyFont="1" applyBorder="1" applyAlignment="1">
      <alignment vertical="top"/>
    </xf>
    <xf numFmtId="0" fontId="2" fillId="0" borderId="18" xfId="0" applyFont="1" applyBorder="1" applyAlignment="1">
      <alignment vertical="top"/>
    </xf>
    <xf numFmtId="0" fontId="13" fillId="0" borderId="12" xfId="0" applyFont="1" applyBorder="1" applyAlignment="1">
      <alignment vertical="top"/>
    </xf>
    <xf numFmtId="0" fontId="2" fillId="0" borderId="13" xfId="0" applyFont="1" applyBorder="1" applyAlignment="1">
      <alignment vertical="top"/>
    </xf>
    <xf numFmtId="0" fontId="2" fillId="0" borderId="0" xfId="0" applyFont="1" applyAlignment="1">
      <alignment horizontal="center" vertical="top" wrapText="1"/>
    </xf>
    <xf numFmtId="4" fontId="2" fillId="0" borderId="0" xfId="0" applyNumberFormat="1" applyFont="1" applyAlignment="1">
      <alignment horizontal="center" vertical="top"/>
    </xf>
    <xf numFmtId="4" fontId="14" fillId="0" borderId="0" xfId="0" applyNumberFormat="1" applyFont="1" applyAlignment="1">
      <alignment horizontal="center" vertical="top"/>
    </xf>
    <xf numFmtId="0" fontId="2" fillId="0" borderId="0" xfId="0" applyFont="1" applyAlignment="1">
      <alignment horizontal="justify" vertical="top"/>
    </xf>
    <xf numFmtId="0" fontId="3" fillId="0" borderId="0" xfId="0" applyFont="1" applyAlignment="1">
      <alignment horizontal="center" vertical="top"/>
    </xf>
    <xf numFmtId="0" fontId="17" fillId="0" borderId="0" xfId="0" applyFont="1" applyAlignment="1">
      <alignment horizontal="center" vertical="top" wrapText="1"/>
    </xf>
    <xf numFmtId="0" fontId="2" fillId="0" borderId="0" xfId="0" applyFont="1"/>
    <xf numFmtId="0" fontId="12" fillId="0" borderId="0" xfId="0" applyFont="1" applyAlignment="1">
      <alignment vertical="top"/>
    </xf>
    <xf numFmtId="0" fontId="12" fillId="0" borderId="0" xfId="0" applyFont="1" applyAlignment="1">
      <alignment horizontal="center" vertical="top"/>
    </xf>
    <xf numFmtId="0" fontId="12" fillId="0" borderId="0" xfId="0" applyFont="1" applyAlignment="1">
      <alignment horizontal="justify" vertical="top"/>
    </xf>
    <xf numFmtId="203" fontId="2" fillId="0" borderId="0" xfId="0" applyNumberFormat="1" applyFont="1" applyAlignment="1">
      <alignment horizontal="left"/>
    </xf>
    <xf numFmtId="0" fontId="2" fillId="0" borderId="0" xfId="0" applyFont="1" applyAlignment="1">
      <alignment vertical="top" wrapText="1"/>
    </xf>
    <xf numFmtId="0" fontId="14" fillId="0" borderId="0" xfId="0" applyFont="1" applyAlignment="1">
      <alignment horizontal="center" vertical="top"/>
    </xf>
    <xf numFmtId="0" fontId="13" fillId="0" borderId="0" xfId="0" applyFont="1" applyAlignment="1">
      <alignment vertical="top"/>
    </xf>
    <xf numFmtId="0" fontId="13" fillId="0" borderId="0" xfId="0" applyFont="1" applyAlignment="1">
      <alignment horizontal="center" vertical="top"/>
    </xf>
    <xf numFmtId="0" fontId="19" fillId="0" borderId="0" xfId="0" applyFont="1" applyAlignment="1">
      <alignment horizontal="center" vertical="top"/>
    </xf>
    <xf numFmtId="0" fontId="19" fillId="0" borderId="0" xfId="0" applyFont="1" applyAlignment="1">
      <alignment vertical="top" wrapText="1"/>
    </xf>
    <xf numFmtId="0" fontId="20" fillId="0" borderId="0" xfId="0" applyFont="1" applyAlignment="1">
      <alignment horizontal="center" vertical="top" wrapText="1"/>
    </xf>
    <xf numFmtId="0" fontId="21" fillId="0" borderId="0" xfId="4" applyAlignment="1">
      <alignment horizontal="left"/>
    </xf>
    <xf numFmtId="0" fontId="12" fillId="0" borderId="0" xfId="0" applyFont="1" applyAlignment="1">
      <alignment horizontal="right" vertical="top"/>
    </xf>
    <xf numFmtId="3" fontId="2" fillId="0" borderId="0" xfId="0" applyNumberFormat="1" applyFont="1" applyAlignment="1">
      <alignment horizontal="right" vertical="top"/>
    </xf>
    <xf numFmtId="3" fontId="2" fillId="0" borderId="0" xfId="0" applyNumberFormat="1" applyFont="1" applyAlignment="1">
      <alignment vertical="top"/>
    </xf>
    <xf numFmtId="0" fontId="22" fillId="0" borderId="0" xfId="0" applyFont="1" applyAlignment="1">
      <alignment vertical="top" wrapText="1"/>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wrapText="1"/>
    </xf>
    <xf numFmtId="0" fontId="13" fillId="0" borderId="20" xfId="0" applyFont="1" applyBorder="1" applyAlignment="1">
      <alignment horizontal="center" vertical="center" wrapText="1"/>
    </xf>
    <xf numFmtId="253" fontId="2" fillId="0" borderId="20" xfId="0" applyNumberFormat="1" applyFont="1" applyBorder="1" applyAlignment="1">
      <alignment horizontal="justify" vertical="top"/>
    </xf>
    <xf numFmtId="0" fontId="2" fillId="0" borderId="20" xfId="0" applyFont="1" applyBorder="1" applyAlignment="1">
      <alignment horizontal="justify" vertical="top"/>
    </xf>
    <xf numFmtId="0" fontId="2" fillId="0" borderId="20" xfId="0" applyFont="1" applyBorder="1" applyAlignment="1">
      <alignment horizontal="center" vertical="top"/>
    </xf>
    <xf numFmtId="253" fontId="2" fillId="0" borderId="25" xfId="0" applyNumberFormat="1" applyFont="1" applyBorder="1" applyAlignment="1">
      <alignment vertical="top"/>
    </xf>
    <xf numFmtId="255" fontId="2" fillId="0" borderId="25" xfId="0" applyNumberFormat="1" applyFont="1" applyBorder="1" applyAlignment="1">
      <alignment horizontal="center" vertical="top"/>
    </xf>
    <xf numFmtId="255" fontId="2" fillId="0" borderId="25" xfId="0" applyNumberFormat="1" applyFont="1" applyBorder="1" applyAlignment="1">
      <alignment vertical="top"/>
    </xf>
    <xf numFmtId="253" fontId="2" fillId="0" borderId="27" xfId="0" applyNumberFormat="1" applyFont="1" applyBorder="1" applyAlignment="1">
      <alignment vertical="top"/>
    </xf>
    <xf numFmtId="255" fontId="2" fillId="0" borderId="27" xfId="0" applyNumberFormat="1" applyFont="1" applyBorder="1" applyAlignment="1">
      <alignment horizontal="center" vertical="top"/>
    </xf>
    <xf numFmtId="255" fontId="2" fillId="0" borderId="27" xfId="0" applyNumberFormat="1" applyFont="1" applyBorder="1" applyAlignment="1">
      <alignment vertical="top"/>
    </xf>
    <xf numFmtId="253" fontId="2" fillId="0" borderId="30" xfId="0" applyNumberFormat="1" applyFont="1" applyBorder="1" applyAlignment="1">
      <alignment vertical="top"/>
    </xf>
    <xf numFmtId="0" fontId="2" fillId="0" borderId="31" xfId="0" applyFont="1" applyBorder="1" applyAlignment="1">
      <alignment horizontal="center" vertical="top"/>
    </xf>
    <xf numFmtId="3" fontId="2" fillId="0" borderId="31" xfId="0" applyNumberFormat="1" applyFont="1" applyBorder="1" applyAlignment="1">
      <alignment horizontal="right" vertical="top"/>
    </xf>
    <xf numFmtId="3" fontId="13" fillId="0" borderId="31" xfId="0" applyNumberFormat="1" applyFont="1" applyBorder="1" applyAlignment="1">
      <alignment horizontal="right" vertical="top"/>
    </xf>
    <xf numFmtId="3" fontId="2" fillId="0" borderId="30" xfId="0" applyNumberFormat="1" applyFont="1" applyBorder="1" applyAlignment="1">
      <alignment vertical="top"/>
    </xf>
    <xf numFmtId="255" fontId="2" fillId="0" borderId="30" xfId="0" applyNumberFormat="1" applyFont="1" applyBorder="1" applyAlignment="1">
      <alignment vertical="top"/>
    </xf>
    <xf numFmtId="3" fontId="13" fillId="0" borderId="30" xfId="0" applyNumberFormat="1" applyFont="1" applyBorder="1" applyAlignment="1">
      <alignment vertical="top"/>
    </xf>
    <xf numFmtId="0" fontId="23" fillId="0" borderId="0" xfId="0" applyFont="1" applyAlignment="1">
      <alignment vertical="top"/>
    </xf>
    <xf numFmtId="0" fontId="23" fillId="0" borderId="0" xfId="0" applyFont="1" applyAlignment="1">
      <alignment vertical="top" wrapText="1"/>
    </xf>
    <xf numFmtId="0" fontId="25" fillId="0" borderId="32" xfId="0" applyFont="1" applyBorder="1" applyAlignment="1">
      <alignment horizontal="center" vertical="top"/>
    </xf>
    <xf numFmtId="0" fontId="25" fillId="0" borderId="15" xfId="0" applyFont="1" applyBorder="1" applyAlignment="1">
      <alignment horizontal="center" vertical="top"/>
    </xf>
    <xf numFmtId="0" fontId="25" fillId="0" borderId="7" xfId="0" applyFont="1" applyBorder="1" applyAlignment="1">
      <alignment horizontal="center" vertical="top"/>
    </xf>
    <xf numFmtId="0" fontId="25" fillId="0" borderId="8" xfId="0" applyFont="1" applyBorder="1" applyAlignment="1">
      <alignment horizontal="center" vertical="top"/>
    </xf>
    <xf numFmtId="0" fontId="25" fillId="0" borderId="9" xfId="0" applyFont="1" applyBorder="1" applyAlignment="1">
      <alignment horizontal="center" vertical="top"/>
    </xf>
    <xf numFmtId="0" fontId="25" fillId="0" borderId="15" xfId="0" applyFont="1" applyBorder="1" applyAlignment="1">
      <alignment horizontal="center"/>
    </xf>
    <xf numFmtId="0" fontId="25" fillId="0" borderId="15" xfId="0" applyFont="1" applyBorder="1"/>
    <xf numFmtId="0" fontId="25" fillId="0" borderId="0" xfId="0" applyFont="1"/>
    <xf numFmtId="0" fontId="25" fillId="0" borderId="18" xfId="0" applyFont="1" applyBorder="1"/>
    <xf numFmtId="0" fontId="1" fillId="0" borderId="18" xfId="0" applyFont="1" applyBorder="1" applyAlignment="1">
      <alignment horizontal="left" vertical="top"/>
    </xf>
    <xf numFmtId="0" fontId="1" fillId="0" borderId="18" xfId="0" applyFont="1" applyBorder="1" applyAlignment="1">
      <alignment horizontal="center" vertical="top"/>
    </xf>
    <xf numFmtId="0" fontId="2" fillId="0" borderId="0" xfId="0" applyFont="1" applyAlignment="1">
      <alignment horizontal="left" vertical="top"/>
    </xf>
    <xf numFmtId="0" fontId="19" fillId="0" borderId="0" xfId="0" applyFont="1" applyAlignment="1">
      <alignment horizontal="justify" vertical="top"/>
    </xf>
    <xf numFmtId="0" fontId="25" fillId="0" borderId="0" xfId="0" applyFont="1" applyAlignment="1">
      <alignment horizontal="center" vertical="top"/>
    </xf>
    <xf numFmtId="0" fontId="1" fillId="0" borderId="0" xfId="0" applyFont="1" applyAlignment="1">
      <alignment horizontal="left" vertical="top"/>
    </xf>
    <xf numFmtId="0" fontId="1" fillId="0" borderId="15" xfId="0" applyFont="1" applyBorder="1" applyAlignment="1">
      <alignment horizontal="left" vertical="top"/>
    </xf>
    <xf numFmtId="0" fontId="1" fillId="0" borderId="0" xfId="0" applyFont="1" applyAlignment="1">
      <alignment horizontal="center" vertical="top"/>
    </xf>
    <xf numFmtId="0" fontId="1" fillId="0" borderId="15" xfId="0" applyFont="1" applyBorder="1" applyAlignment="1">
      <alignment horizontal="center" vertical="top"/>
    </xf>
    <xf numFmtId="0" fontId="2" fillId="0" borderId="15" xfId="0" applyFont="1" applyBorder="1"/>
    <xf numFmtId="0" fontId="26" fillId="0" borderId="0" xfId="0" applyFont="1"/>
    <xf numFmtId="0" fontId="25" fillId="0" borderId="0" xfId="0" applyFont="1" applyAlignment="1">
      <alignment vertical="top"/>
    </xf>
    <xf numFmtId="0" fontId="25" fillId="0" borderId="0" xfId="0" applyFont="1" applyAlignment="1">
      <alignment horizontal="right" vertical="top"/>
    </xf>
    <xf numFmtId="0" fontId="25" fillId="0" borderId="0" xfId="0" applyFont="1" applyAlignment="1">
      <alignment horizontal="justify" vertical="top"/>
    </xf>
    <xf numFmtId="0" fontId="25" fillId="0" borderId="0" xfId="0" applyFont="1" applyAlignment="1">
      <alignment horizontal="left" vertical="top"/>
    </xf>
    <xf numFmtId="0" fontId="28" fillId="0" borderId="0" xfId="0" applyFont="1" applyAlignment="1">
      <alignment vertical="top"/>
    </xf>
    <xf numFmtId="49" fontId="25" fillId="0" borderId="0" xfId="0" applyNumberFormat="1" applyFont="1" applyAlignment="1">
      <alignment vertical="top"/>
    </xf>
    <xf numFmtId="252" fontId="25" fillId="0" borderId="0" xfId="0" applyNumberFormat="1" applyFont="1" applyAlignment="1">
      <alignment vertical="top"/>
    </xf>
    <xf numFmtId="0" fontId="29" fillId="0" borderId="0" xfId="0" applyFont="1"/>
    <xf numFmtId="43" fontId="29" fillId="0" borderId="0" xfId="1" applyFont="1" applyFill="1"/>
    <xf numFmtId="0" fontId="30" fillId="0" borderId="0" xfId="4" applyFont="1" applyAlignment="1">
      <alignment horizontal="left"/>
    </xf>
    <xf numFmtId="0" fontId="26" fillId="0" borderId="0" xfId="0" applyFont="1" applyAlignment="1">
      <alignment horizontal="left" vertical="top" wrapText="1"/>
    </xf>
    <xf numFmtId="256" fontId="2" fillId="0" borderId="0" xfId="0" applyNumberFormat="1" applyFont="1" applyAlignment="1">
      <alignment horizontal="left"/>
    </xf>
    <xf numFmtId="0" fontId="12" fillId="0" borderId="32" xfId="0" applyFont="1" applyBorder="1" applyAlignment="1">
      <alignment horizontal="center" vertical="top"/>
    </xf>
    <xf numFmtId="0" fontId="12" fillId="0" borderId="15" xfId="0" applyFont="1" applyBorder="1" applyAlignment="1">
      <alignment vertical="top"/>
    </xf>
    <xf numFmtId="0" fontId="12" fillId="2" borderId="15" xfId="0" applyFont="1" applyFill="1" applyBorder="1" applyAlignment="1">
      <alignment horizontal="center" vertical="top"/>
    </xf>
    <xf numFmtId="0" fontId="12" fillId="2" borderId="0" xfId="0" applyFont="1" applyFill="1" applyAlignment="1">
      <alignment vertical="top"/>
    </xf>
    <xf numFmtId="0" fontId="2" fillId="2" borderId="15" xfId="0" applyFont="1" applyFill="1" applyBorder="1" applyAlignment="1">
      <alignment horizontal="justify" vertical="top" wrapText="1"/>
    </xf>
    <xf numFmtId="0" fontId="12" fillId="0" borderId="15" xfId="0" applyFont="1" applyBorder="1" applyAlignment="1">
      <alignment horizontal="center" vertical="top"/>
    </xf>
    <xf numFmtId="0" fontId="32" fillId="0" borderId="15" xfId="0" applyFont="1" applyBorder="1" applyAlignment="1">
      <alignment vertical="top"/>
    </xf>
    <xf numFmtId="0" fontId="12" fillId="0" borderId="7" xfId="0" applyFont="1" applyBorder="1" applyAlignment="1">
      <alignment horizontal="center" vertical="top"/>
    </xf>
    <xf numFmtId="0" fontId="32" fillId="0" borderId="7" xfId="0" applyFont="1" applyBorder="1" applyAlignment="1">
      <alignment vertical="top"/>
    </xf>
    <xf numFmtId="0" fontId="12" fillId="0" borderId="11" xfId="0" applyFont="1" applyBorder="1" applyAlignment="1">
      <alignment horizontal="center" vertical="top"/>
    </xf>
    <xf numFmtId="0" fontId="12" fillId="0" borderId="12" xfId="0" applyFont="1" applyBorder="1" applyAlignment="1">
      <alignment horizontal="center" vertical="top"/>
    </xf>
    <xf numFmtId="0" fontId="12" fillId="0" borderId="12" xfId="0" applyFont="1" applyBorder="1" applyAlignment="1">
      <alignment vertical="top"/>
    </xf>
    <xf numFmtId="0" fontId="32" fillId="0" borderId="11" xfId="0" applyFont="1" applyBorder="1" applyAlignment="1">
      <alignment vertical="top"/>
    </xf>
    <xf numFmtId="0" fontId="19" fillId="0" borderId="0" xfId="0" applyFont="1" applyAlignment="1">
      <alignment horizontal="left" vertical="top"/>
    </xf>
    <xf numFmtId="0" fontId="12" fillId="0" borderId="18" xfId="0" applyFont="1" applyBorder="1" applyAlignment="1">
      <alignment vertical="top"/>
    </xf>
    <xf numFmtId="0" fontId="2" fillId="2" borderId="18" xfId="0" applyFont="1" applyFill="1" applyBorder="1" applyAlignment="1">
      <alignment horizontal="justify" vertical="top" wrapText="1"/>
    </xf>
    <xf numFmtId="0" fontId="12" fillId="0" borderId="8" xfId="0" applyFont="1" applyBorder="1" applyAlignment="1">
      <alignment vertical="top"/>
    </xf>
    <xf numFmtId="0" fontId="2" fillId="0" borderId="9" xfId="0" applyFont="1" applyBorder="1" applyAlignment="1">
      <alignment horizontal="justify" vertical="top" wrapText="1"/>
    </xf>
    <xf numFmtId="0" fontId="12" fillId="0" borderId="13" xfId="0" applyFont="1" applyBorder="1" applyAlignment="1">
      <alignment vertical="top"/>
    </xf>
    <xf numFmtId="0" fontId="32" fillId="0" borderId="32" xfId="0" applyFont="1" applyBorder="1" applyAlignment="1">
      <alignment vertical="top"/>
    </xf>
    <xf numFmtId="0" fontId="12" fillId="0" borderId="8" xfId="0" applyFont="1" applyBorder="1" applyAlignment="1">
      <alignment horizontal="left" vertical="top"/>
    </xf>
    <xf numFmtId="0" fontId="12" fillId="0" borderId="11" xfId="0" applyFont="1" applyBorder="1" applyAlignment="1">
      <alignment vertical="top"/>
    </xf>
    <xf numFmtId="0" fontId="12" fillId="0" borderId="33" xfId="0" applyFont="1" applyBorder="1" applyAlignment="1">
      <alignment vertical="top"/>
    </xf>
    <xf numFmtId="0" fontId="2" fillId="0" borderId="34" xfId="0" applyFont="1" applyBorder="1" applyAlignment="1">
      <alignment horizontal="justify" vertical="top" wrapText="1"/>
    </xf>
    <xf numFmtId="0" fontId="12" fillId="0" borderId="9" xfId="0" applyFont="1" applyBorder="1" applyAlignment="1">
      <alignment vertical="top"/>
    </xf>
    <xf numFmtId="0" fontId="33" fillId="0" borderId="0" xfId="0" applyFont="1" applyAlignment="1">
      <alignment vertical="top"/>
    </xf>
    <xf numFmtId="0" fontId="22" fillId="0" borderId="0" xfId="0" applyFont="1" applyAlignment="1">
      <alignment horizontal="justify" vertical="top" wrapText="1"/>
    </xf>
    <xf numFmtId="0" fontId="35" fillId="0" borderId="0" xfId="0" applyFont="1" applyAlignment="1">
      <alignment vertical="top"/>
    </xf>
    <xf numFmtId="0" fontId="19" fillId="0" borderId="0" xfId="0" applyFont="1" applyAlignment="1">
      <alignment vertical="top"/>
    </xf>
    <xf numFmtId="0" fontId="24" fillId="0" borderId="30" xfId="0" applyFont="1" applyBorder="1" applyAlignment="1">
      <alignment horizontal="center" vertical="center"/>
    </xf>
    <xf numFmtId="0" fontId="23" fillId="0" borderId="37" xfId="0" applyFont="1" applyBorder="1" applyAlignment="1">
      <alignment horizontal="center" vertical="top"/>
    </xf>
    <xf numFmtId="254" fontId="23" fillId="0" borderId="37" xfId="0" applyNumberFormat="1" applyFont="1" applyBorder="1" applyAlignment="1">
      <alignment horizontal="center" vertical="top" wrapText="1"/>
    </xf>
    <xf numFmtId="3" fontId="2" fillId="0" borderId="0" xfId="0" applyNumberFormat="1" applyFont="1" applyAlignment="1">
      <alignment horizontal="center" vertical="top"/>
    </xf>
    <xf numFmtId="254" fontId="23" fillId="0" borderId="37" xfId="0" applyNumberFormat="1" applyFont="1" applyBorder="1" applyAlignment="1">
      <alignment vertical="top" wrapText="1"/>
    </xf>
    <xf numFmtId="254" fontId="23" fillId="0" borderId="40" xfId="0" applyNumberFormat="1" applyFont="1" applyBorder="1" applyAlignment="1">
      <alignment vertical="top" wrapText="1"/>
    </xf>
    <xf numFmtId="254" fontId="23" fillId="0" borderId="42" xfId="0" applyNumberFormat="1" applyFont="1" applyBorder="1" applyAlignment="1">
      <alignment vertical="top" wrapText="1"/>
    </xf>
    <xf numFmtId="0" fontId="23" fillId="0" borderId="43" xfId="0" applyFont="1" applyBorder="1" applyAlignment="1">
      <alignment horizontal="center" vertical="top"/>
    </xf>
    <xf numFmtId="254" fontId="23" fillId="0" borderId="43" xfId="0" applyNumberFormat="1" applyFont="1" applyBorder="1" applyAlignment="1">
      <alignment horizontal="center" vertical="top" wrapText="1"/>
    </xf>
    <xf numFmtId="0" fontId="13" fillId="0" borderId="0" xfId="0" applyFont="1" applyAlignment="1">
      <alignment vertical="top" wrapText="1"/>
    </xf>
    <xf numFmtId="254" fontId="23" fillId="0" borderId="43" xfId="0" applyNumberFormat="1" applyFont="1" applyBorder="1" applyAlignment="1">
      <alignment vertical="top" wrapText="1"/>
    </xf>
    <xf numFmtId="0" fontId="24" fillId="0" borderId="30" xfId="0" applyFont="1" applyBorder="1" applyAlignment="1">
      <alignment horizontal="center" vertical="center" wrapText="1"/>
    </xf>
    <xf numFmtId="0" fontId="23" fillId="0" borderId="30" xfId="0" applyFont="1" applyBorder="1" applyAlignment="1">
      <alignment horizontal="center" vertical="top"/>
    </xf>
    <xf numFmtId="0" fontId="23" fillId="0" borderId="31" xfId="0" applyFont="1" applyBorder="1" applyAlignment="1">
      <alignment horizontal="center" vertical="top"/>
    </xf>
    <xf numFmtId="0" fontId="13" fillId="0" borderId="22" xfId="0" applyFont="1" applyBorder="1" applyAlignment="1">
      <alignment vertical="top" wrapText="1"/>
    </xf>
    <xf numFmtId="3" fontId="23" fillId="0" borderId="31" xfId="0" applyNumberFormat="1" applyFont="1" applyBorder="1" applyAlignment="1">
      <alignment horizontal="right" vertical="top"/>
    </xf>
    <xf numFmtId="3" fontId="24" fillId="0" borderId="36" xfId="0" applyNumberFormat="1" applyFont="1" applyBorder="1" applyAlignment="1">
      <alignment horizontal="right" vertical="top"/>
    </xf>
    <xf numFmtId="3" fontId="24" fillId="0" borderId="30" xfId="0" applyNumberFormat="1" applyFont="1" applyBorder="1" applyAlignment="1">
      <alignment vertical="top"/>
    </xf>
    <xf numFmtId="3" fontId="23" fillId="0" borderId="36" xfId="0" applyNumberFormat="1" applyFont="1" applyBorder="1" applyAlignment="1">
      <alignment horizontal="right" vertical="top"/>
    </xf>
    <xf numFmtId="3" fontId="23" fillId="0" borderId="30" xfId="0" applyNumberFormat="1" applyFont="1" applyBorder="1" applyAlignment="1">
      <alignment vertical="top"/>
    </xf>
    <xf numFmtId="257" fontId="23" fillId="0" borderId="36" xfId="2" applyNumberFormat="1" applyFont="1" applyBorder="1" applyAlignment="1">
      <alignment horizontal="right" vertical="top"/>
    </xf>
    <xf numFmtId="0" fontId="6" fillId="0" borderId="0" xfId="0" applyFont="1" applyAlignment="1">
      <alignment horizontal="center" vertical="top"/>
    </xf>
    <xf numFmtId="0" fontId="25" fillId="0" borderId="18" xfId="0" applyFont="1" applyBorder="1" applyAlignment="1">
      <alignment horizontal="center" vertical="top"/>
    </xf>
    <xf numFmtId="0" fontId="2" fillId="0" borderId="18" xfId="0" applyFont="1" applyBorder="1"/>
    <xf numFmtId="0" fontId="2" fillId="0" borderId="0" xfId="0" applyFont="1" applyAlignment="1">
      <alignment horizontal="center"/>
    </xf>
    <xf numFmtId="0" fontId="13" fillId="0" borderId="0" xfId="0" applyFont="1"/>
    <xf numFmtId="0" fontId="13" fillId="0" borderId="0" xfId="0" applyFont="1" applyAlignment="1">
      <alignment horizontal="center"/>
    </xf>
    <xf numFmtId="0" fontId="36" fillId="0" borderId="0" xfId="0" applyFont="1" applyAlignment="1">
      <alignment vertical="top" wrapText="1"/>
    </xf>
    <xf numFmtId="0" fontId="2" fillId="0" borderId="0" xfId="0" applyFont="1" applyAlignment="1">
      <alignment horizontal="left"/>
    </xf>
    <xf numFmtId="49" fontId="2" fillId="0" borderId="0" xfId="0" applyNumberFormat="1" applyFont="1" applyAlignment="1">
      <alignment horizontal="left"/>
    </xf>
    <xf numFmtId="0" fontId="37" fillId="0" borderId="0" xfId="0" applyFont="1"/>
    <xf numFmtId="0" fontId="38" fillId="0" borderId="0" xfId="0" applyFont="1"/>
    <xf numFmtId="258" fontId="37" fillId="0" borderId="0" xfId="0" applyNumberFormat="1" applyFont="1" applyAlignment="1">
      <alignment horizontal="center"/>
    </xf>
    <xf numFmtId="259" fontId="2" fillId="0" borderId="0" xfId="0" applyNumberFormat="1" applyFont="1" applyAlignment="1">
      <alignment horizontal="left"/>
    </xf>
    <xf numFmtId="260" fontId="2" fillId="0" borderId="0" xfId="0" applyNumberFormat="1" applyFont="1" applyAlignment="1">
      <alignment horizontal="left"/>
    </xf>
    <xf numFmtId="0" fontId="13" fillId="0" borderId="0" xfId="0" applyFont="1" applyAlignment="1">
      <alignment horizontal="left"/>
    </xf>
    <xf numFmtId="261" fontId="2" fillId="0" borderId="0" xfId="0" applyNumberFormat="1" applyFont="1" applyAlignment="1">
      <alignment horizontal="left" vertical="top"/>
    </xf>
    <xf numFmtId="0" fontId="25" fillId="0" borderId="0" xfId="0" applyFont="1" applyAlignment="1">
      <alignment horizontal="center"/>
    </xf>
    <xf numFmtId="0" fontId="19" fillId="0" borderId="0" xfId="0" applyFont="1"/>
    <xf numFmtId="0" fontId="2" fillId="0" borderId="0" xfId="0" applyFont="1" applyAlignment="1">
      <alignment horizontal="right" vertical="top"/>
    </xf>
    <xf numFmtId="0" fontId="39" fillId="0" borderId="0" xfId="0" applyFont="1" applyAlignment="1">
      <alignment vertical="top"/>
    </xf>
    <xf numFmtId="252" fontId="2" fillId="0" borderId="0" xfId="0" applyNumberFormat="1" applyFont="1" applyAlignment="1">
      <alignment horizontal="left" vertical="top"/>
    </xf>
    <xf numFmtId="252" fontId="39" fillId="0" borderId="0" xfId="0" applyNumberFormat="1" applyFont="1" applyAlignment="1">
      <alignment horizontal="left" vertical="top"/>
    </xf>
    <xf numFmtId="4" fontId="13" fillId="0" borderId="0" xfId="0" applyNumberFormat="1" applyFont="1" applyAlignment="1">
      <alignment horizontal="center" vertical="top"/>
    </xf>
    <xf numFmtId="0" fontId="19" fillId="0" borderId="0" xfId="0" applyFont="1" applyAlignment="1">
      <alignment horizontal="justify" vertical="top" wrapText="1"/>
    </xf>
    <xf numFmtId="0" fontId="13" fillId="0" borderId="62" xfId="0" applyFont="1" applyBorder="1" applyAlignment="1">
      <alignment horizontal="center" vertical="center" wrapText="1"/>
    </xf>
    <xf numFmtId="253" fontId="2" fillId="0" borderId="63" xfId="0" applyNumberFormat="1" applyFont="1" applyBorder="1" applyAlignment="1">
      <alignment horizontal="justify" vertical="top"/>
    </xf>
    <xf numFmtId="0" fontId="2" fillId="0" borderId="27" xfId="0" applyFont="1" applyBorder="1" applyAlignment="1">
      <alignment horizontal="justify" vertical="top"/>
    </xf>
    <xf numFmtId="0" fontId="2" fillId="0" borderId="27" xfId="0" applyFont="1" applyBorder="1" applyAlignment="1">
      <alignment horizontal="center" vertical="top"/>
    </xf>
    <xf numFmtId="253" fontId="2" fillId="0" borderId="64" xfId="0" applyNumberFormat="1" applyFont="1" applyBorder="1" applyAlignment="1">
      <alignment vertical="top"/>
    </xf>
    <xf numFmtId="255" fontId="2" fillId="0" borderId="30" xfId="0" applyNumberFormat="1" applyFont="1" applyBorder="1" applyAlignment="1">
      <alignment horizontal="center" vertical="top"/>
    </xf>
    <xf numFmtId="255" fontId="2" fillId="0" borderId="30" xfId="0" applyNumberFormat="1" applyFont="1" applyBorder="1" applyAlignment="1">
      <alignment horizontal="right" vertical="top"/>
    </xf>
    <xf numFmtId="253" fontId="2" fillId="0" borderId="65" xfId="0" applyNumberFormat="1" applyFont="1" applyBorder="1" applyAlignment="1">
      <alignment vertical="top"/>
    </xf>
    <xf numFmtId="255" fontId="2" fillId="0" borderId="20" xfId="0" applyNumberFormat="1" applyFont="1" applyBorder="1" applyAlignment="1">
      <alignment horizontal="center" vertical="top"/>
    </xf>
    <xf numFmtId="255" fontId="2" fillId="0" borderId="20" xfId="0" applyNumberFormat="1" applyFont="1" applyBorder="1" applyAlignment="1">
      <alignment horizontal="right" vertical="top"/>
    </xf>
    <xf numFmtId="255" fontId="2" fillId="0" borderId="20" xfId="0" applyNumberFormat="1" applyFont="1" applyBorder="1" applyAlignment="1">
      <alignment vertical="top"/>
    </xf>
    <xf numFmtId="253" fontId="2" fillId="0" borderId="66" xfId="0" applyNumberFormat="1" applyFont="1" applyBorder="1" applyAlignment="1">
      <alignment vertical="top"/>
    </xf>
    <xf numFmtId="0" fontId="2" fillId="0" borderId="56" xfId="0" applyFont="1" applyBorder="1" applyAlignment="1">
      <alignment horizontal="center" vertical="top"/>
    </xf>
    <xf numFmtId="3" fontId="2" fillId="0" borderId="56" xfId="0" applyNumberFormat="1" applyFont="1" applyBorder="1" applyAlignment="1">
      <alignment horizontal="right" vertical="top"/>
    </xf>
    <xf numFmtId="3" fontId="13" fillId="0" borderId="56" xfId="0" applyNumberFormat="1" applyFont="1" applyBorder="1" applyAlignment="1">
      <alignment horizontal="right" vertical="top"/>
    </xf>
    <xf numFmtId="253" fontId="2" fillId="0" borderId="67" xfId="0" applyNumberFormat="1" applyFont="1" applyBorder="1" applyAlignment="1">
      <alignment vertical="top"/>
    </xf>
    <xf numFmtId="0" fontId="2" fillId="0" borderId="69" xfId="0" applyFont="1" applyBorder="1" applyAlignment="1">
      <alignment horizontal="center" vertical="top"/>
    </xf>
    <xf numFmtId="3" fontId="2" fillId="0" borderId="69" xfId="0" applyNumberFormat="1" applyFont="1" applyBorder="1" applyAlignment="1">
      <alignment horizontal="right" vertical="top"/>
    </xf>
    <xf numFmtId="3" fontId="13" fillId="0" borderId="69" xfId="0" applyNumberFormat="1" applyFont="1" applyBorder="1" applyAlignment="1">
      <alignment horizontal="right" vertical="top"/>
    </xf>
    <xf numFmtId="252" fontId="2" fillId="0" borderId="0" xfId="0" applyNumberFormat="1" applyFont="1" applyAlignment="1">
      <alignment horizontal="center" vertical="top"/>
    </xf>
    <xf numFmtId="0" fontId="2" fillId="0" borderId="73" xfId="0" applyFont="1" applyBorder="1" applyAlignment="1">
      <alignment horizontal="center" vertical="top"/>
    </xf>
    <xf numFmtId="255" fontId="2" fillId="0" borderId="74" xfId="0" applyNumberFormat="1" applyFont="1" applyBorder="1" applyAlignment="1">
      <alignment vertical="top"/>
    </xf>
    <xf numFmtId="255" fontId="2" fillId="0" borderId="75" xfId="0" applyNumberFormat="1" applyFont="1" applyBorder="1" applyAlignment="1">
      <alignment vertical="top"/>
    </xf>
    <xf numFmtId="3" fontId="2" fillId="0" borderId="70" xfId="0" applyNumberFormat="1" applyFont="1" applyBorder="1" applyAlignment="1">
      <alignment horizontal="right" vertical="top"/>
    </xf>
    <xf numFmtId="3" fontId="2" fillId="0" borderId="76" xfId="0" applyNumberFormat="1" applyFont="1" applyBorder="1" applyAlignment="1">
      <alignment vertical="top"/>
    </xf>
    <xf numFmtId="257" fontId="2" fillId="0" borderId="36" xfId="2" applyNumberFormat="1" applyFont="1" applyBorder="1" applyAlignment="1">
      <alignment horizontal="right" vertical="top"/>
    </xf>
    <xf numFmtId="3" fontId="13" fillId="0" borderId="78" xfId="0" applyNumberFormat="1" applyFont="1" applyBorder="1" applyAlignment="1">
      <alignment vertical="top"/>
    </xf>
    <xf numFmtId="0" fontId="5" fillId="0" borderId="0" xfId="0" applyFont="1"/>
    <xf numFmtId="0" fontId="2" fillId="0" borderId="0" xfId="314" applyFont="1"/>
    <xf numFmtId="0" fontId="40" fillId="0" borderId="0" xfId="314"/>
    <xf numFmtId="0" fontId="41" fillId="3" borderId="0" xfId="0" applyFont="1" applyFill="1" applyAlignment="1">
      <alignment horizontal="left" vertical="center"/>
    </xf>
    <xf numFmtId="0" fontId="42" fillId="3" borderId="0" xfId="0" applyFont="1" applyFill="1" applyAlignment="1">
      <alignment horizontal="center" vertical="center"/>
    </xf>
    <xf numFmtId="0" fontId="43" fillId="0" borderId="0" xfId="314" applyFont="1"/>
    <xf numFmtId="0" fontId="44" fillId="0" borderId="0" xfId="314" applyFont="1"/>
    <xf numFmtId="0" fontId="45" fillId="0" borderId="0" xfId="314" applyFont="1" applyAlignment="1">
      <alignment horizontal="right"/>
    </xf>
    <xf numFmtId="181" fontId="43" fillId="0" borderId="0" xfId="314" applyNumberFormat="1" applyFont="1" applyAlignment="1">
      <alignment horizontal="left"/>
    </xf>
    <xf numFmtId="0" fontId="46" fillId="0" borderId="0" xfId="314" applyFont="1"/>
    <xf numFmtId="0" fontId="47" fillId="0" borderId="0" xfId="314" applyFont="1" applyAlignment="1">
      <alignment horizontal="right"/>
    </xf>
    <xf numFmtId="0" fontId="43" fillId="5" borderId="81" xfId="314" applyFont="1" applyFill="1" applyBorder="1" applyAlignment="1">
      <alignment horizontal="centerContinuous"/>
    </xf>
    <xf numFmtId="0" fontId="43" fillId="5" borderId="82" xfId="314" applyFont="1" applyFill="1" applyBorder="1" applyAlignment="1">
      <alignment horizontal="centerContinuous"/>
    </xf>
    <xf numFmtId="0" fontId="43" fillId="5" borderId="85" xfId="314" applyFont="1" applyFill="1" applyBorder="1" applyAlignment="1">
      <alignment horizontal="centerContinuous"/>
    </xf>
    <xf numFmtId="0" fontId="43" fillId="5" borderId="86" xfId="314" applyFont="1" applyFill="1" applyBorder="1" applyAlignment="1">
      <alignment horizontal="center"/>
    </xf>
    <xf numFmtId="0" fontId="2" fillId="0" borderId="87" xfId="314" applyFont="1" applyBorder="1"/>
    <xf numFmtId="0" fontId="2" fillId="0" borderId="88" xfId="314" applyFont="1" applyBorder="1"/>
    <xf numFmtId="0" fontId="2" fillId="0" borderId="88" xfId="314" applyFont="1" applyBorder="1" applyAlignment="1">
      <alignment horizontal="centerContinuous"/>
    </xf>
    <xf numFmtId="0" fontId="2" fillId="0" borderId="89" xfId="314" applyFont="1" applyBorder="1" applyAlignment="1">
      <alignment horizontal="center"/>
    </xf>
    <xf numFmtId="0" fontId="48" fillId="0" borderId="90" xfId="314" applyFont="1" applyBorder="1"/>
    <xf numFmtId="0" fontId="2" fillId="0" borderId="91" xfId="314" applyFont="1" applyBorder="1"/>
    <xf numFmtId="0" fontId="2" fillId="0" borderId="91" xfId="314" applyFont="1" applyBorder="1" applyAlignment="1">
      <alignment horizontal="centerContinuous"/>
    </xf>
    <xf numFmtId="0" fontId="2" fillId="0" borderId="92" xfId="314" applyFont="1" applyBorder="1" applyAlignment="1">
      <alignment horizontal="center"/>
    </xf>
    <xf numFmtId="0" fontId="13" fillId="0" borderId="93" xfId="314" applyFont="1" applyBorder="1" applyAlignment="1">
      <alignment horizontal="center"/>
    </xf>
    <xf numFmtId="0" fontId="13" fillId="0" borderId="94" xfId="314" applyFont="1" applyBorder="1"/>
    <xf numFmtId="0" fontId="2" fillId="0" borderId="80" xfId="314" applyFont="1" applyBorder="1"/>
    <xf numFmtId="0" fontId="2" fillId="0" borderId="81" xfId="314" applyFont="1" applyBorder="1"/>
    <xf numFmtId="0" fontId="2" fillId="0" borderId="95" xfId="314" applyFont="1" applyBorder="1"/>
    <xf numFmtId="0" fontId="13" fillId="0" borderId="96" xfId="314" applyFont="1" applyBorder="1"/>
    <xf numFmtId="0" fontId="2" fillId="0" borderId="97" xfId="314" applyFont="1" applyBorder="1" applyAlignment="1">
      <alignment horizontal="center"/>
    </xf>
    <xf numFmtId="0" fontId="2" fillId="0" borderId="98" xfId="314" applyFont="1" applyBorder="1" applyAlignment="1">
      <alignment horizontal="center"/>
    </xf>
    <xf numFmtId="0" fontId="2" fillId="0" borderId="99" xfId="314" applyFont="1" applyBorder="1" applyAlignment="1">
      <alignment horizontal="center" vertical="center"/>
    </xf>
    <xf numFmtId="0" fontId="2" fillId="0" borderId="97" xfId="314" applyFont="1" applyBorder="1"/>
    <xf numFmtId="0" fontId="2" fillId="0" borderId="99" xfId="314" applyFont="1" applyBorder="1" applyAlignment="1">
      <alignment horizontal="center"/>
    </xf>
    <xf numFmtId="0" fontId="2" fillId="0" borderId="100" xfId="314" applyFont="1" applyBorder="1" applyAlignment="1">
      <alignment horizontal="center"/>
    </xf>
    <xf numFmtId="0" fontId="2" fillId="0" borderId="101" xfId="314" applyFont="1" applyBorder="1"/>
    <xf numFmtId="262" fontId="2" fillId="0" borderId="102" xfId="314" applyNumberFormat="1" applyFont="1" applyBorder="1" applyAlignment="1">
      <alignment horizontal="center"/>
    </xf>
    <xf numFmtId="0" fontId="2" fillId="0" borderId="103" xfId="314" applyFont="1" applyBorder="1" applyAlignment="1">
      <alignment horizontal="center" vertical="center"/>
    </xf>
    <xf numFmtId="0" fontId="2" fillId="0" borderId="102" xfId="314" applyFont="1" applyBorder="1" applyAlignment="1">
      <alignment horizontal="center"/>
    </xf>
    <xf numFmtId="260" fontId="2" fillId="0" borderId="102" xfId="314" applyNumberFormat="1" applyFont="1" applyBorder="1" applyAlignment="1">
      <alignment horizontal="center"/>
    </xf>
    <xf numFmtId="0" fontId="2" fillId="0" borderId="103" xfId="314" applyFont="1" applyBorder="1" applyAlignment="1">
      <alignment horizontal="center"/>
    </xf>
    <xf numFmtId="0" fontId="13" fillId="0" borderId="87" xfId="314" applyFont="1" applyBorder="1" applyAlignment="1">
      <alignment horizontal="center"/>
    </xf>
    <xf numFmtId="0" fontId="13" fillId="0" borderId="104" xfId="314" applyFont="1" applyBorder="1"/>
    <xf numFmtId="0" fontId="2" fillId="0" borderId="105" xfId="314" applyFont="1" applyBorder="1" applyAlignment="1">
      <alignment horizontal="center"/>
    </xf>
    <xf numFmtId="0" fontId="2" fillId="0" borderId="106" xfId="314" applyFont="1" applyBorder="1" applyAlignment="1">
      <alignment horizontal="center" vertical="center"/>
    </xf>
    <xf numFmtId="0" fontId="13" fillId="0" borderId="83" xfId="314" applyFont="1" applyBorder="1" applyAlignment="1">
      <alignment horizontal="center"/>
    </xf>
    <xf numFmtId="0" fontId="13" fillId="0" borderId="107" xfId="314" applyFont="1" applyBorder="1"/>
    <xf numFmtId="0" fontId="2" fillId="0" borderId="84" xfId="314" applyFont="1" applyBorder="1"/>
    <xf numFmtId="0" fontId="2" fillId="0" borderId="85" xfId="314" applyFont="1" applyBorder="1" applyAlignment="1">
      <alignment horizontal="center"/>
    </xf>
    <xf numFmtId="0" fontId="2" fillId="0" borderId="108" xfId="314" applyFont="1" applyBorder="1" applyAlignment="1">
      <alignment horizontal="center" vertical="center"/>
    </xf>
    <xf numFmtId="0" fontId="2" fillId="0" borderId="109" xfId="314" applyFont="1" applyBorder="1" applyAlignment="1">
      <alignment horizontal="center"/>
    </xf>
    <xf numFmtId="0" fontId="2" fillId="0" borderId="110" xfId="314" applyFont="1" applyBorder="1"/>
    <xf numFmtId="14" fontId="2" fillId="0" borderId="111" xfId="314" applyNumberFormat="1" applyFont="1" applyBorder="1" applyAlignment="1">
      <alignment horizontal="center"/>
    </xf>
    <xf numFmtId="0" fontId="2" fillId="0" borderId="112" xfId="314" applyFont="1" applyBorder="1" applyAlignment="1">
      <alignment horizontal="center" vertical="center"/>
    </xf>
    <xf numFmtId="0" fontId="2" fillId="0" borderId="109" xfId="314" applyFont="1" applyBorder="1" applyAlignment="1">
      <alignment horizontal="center" vertical="top"/>
    </xf>
    <xf numFmtId="262" fontId="2" fillId="0" borderId="111" xfId="314" applyNumberFormat="1" applyFont="1" applyBorder="1" applyAlignment="1">
      <alignment horizontal="center" vertical="center"/>
    </xf>
    <xf numFmtId="262" fontId="2" fillId="0" borderId="111" xfId="314" applyNumberFormat="1" applyFont="1" applyBorder="1" applyAlignment="1">
      <alignment horizontal="center"/>
    </xf>
    <xf numFmtId="0" fontId="13" fillId="0" borderId="114" xfId="314" applyFont="1" applyBorder="1" applyAlignment="1">
      <alignment horizontal="center"/>
    </xf>
    <xf numFmtId="0" fontId="13" fillId="0" borderId="115" xfId="314" applyFont="1" applyBorder="1"/>
    <xf numFmtId="0" fontId="2" fillId="0" borderId="116" xfId="314" applyFont="1" applyBorder="1"/>
    <xf numFmtId="0" fontId="49" fillId="0" borderId="117" xfId="314" applyFont="1" applyBorder="1" applyAlignment="1">
      <alignment horizontal="center"/>
    </xf>
    <xf numFmtId="0" fontId="2" fillId="0" borderId="118" xfId="314" applyFont="1" applyBorder="1" applyAlignment="1">
      <alignment horizontal="center" vertical="center"/>
    </xf>
    <xf numFmtId="0" fontId="49" fillId="0" borderId="91" xfId="314" applyFont="1" applyBorder="1" applyAlignment="1">
      <alignment horizontal="centerContinuous"/>
    </xf>
    <xf numFmtId="0" fontId="13" fillId="0" borderId="119" xfId="314" applyFont="1" applyBorder="1" applyAlignment="1">
      <alignment horizontal="center" vertical="top"/>
    </xf>
    <xf numFmtId="0" fontId="13" fillId="0" borderId="120" xfId="314" applyFont="1" applyBorder="1" applyAlignment="1">
      <alignment vertical="top"/>
    </xf>
    <xf numFmtId="0" fontId="2" fillId="0" borderId="121" xfId="314" applyFont="1" applyBorder="1" applyAlignment="1">
      <alignment vertical="top"/>
    </xf>
    <xf numFmtId="14" fontId="2" fillId="0" borderId="122" xfId="314" applyNumberFormat="1" applyFont="1" applyBorder="1" applyAlignment="1">
      <alignment horizontal="center" vertical="top"/>
    </xf>
    <xf numFmtId="0" fontId="2" fillId="0" borderId="82" xfId="314" applyFont="1" applyBorder="1" applyAlignment="1">
      <alignment horizontal="center" vertical="top"/>
    </xf>
    <xf numFmtId="0" fontId="2" fillId="0" borderId="87" xfId="314" applyFont="1" applyBorder="1" applyAlignment="1">
      <alignment horizontal="center" vertical="top"/>
    </xf>
    <xf numFmtId="0" fontId="2" fillId="0" borderId="104" xfId="314" applyFont="1" applyBorder="1" applyAlignment="1">
      <alignment vertical="top"/>
    </xf>
    <xf numFmtId="0" fontId="2" fillId="0" borderId="88" xfId="314" applyFont="1" applyBorder="1" applyAlignment="1">
      <alignment vertical="top"/>
    </xf>
    <xf numFmtId="14" fontId="2" fillId="0" borderId="105" xfId="314" applyNumberFormat="1" applyFont="1" applyBorder="1" applyAlignment="1">
      <alignment horizontal="center" vertical="top"/>
    </xf>
    <xf numFmtId="0" fontId="2" fillId="0" borderId="106" xfId="314" applyFont="1" applyBorder="1" applyAlignment="1">
      <alignment horizontal="center" vertical="top"/>
    </xf>
    <xf numFmtId="0" fontId="13" fillId="0" borderId="87" xfId="314" applyFont="1" applyBorder="1" applyAlignment="1">
      <alignment horizontal="center" vertical="top"/>
    </xf>
    <xf numFmtId="0" fontId="13" fillId="0" borderId="104" xfId="314" applyFont="1" applyBorder="1" applyAlignment="1">
      <alignment vertical="top"/>
    </xf>
    <xf numFmtId="0" fontId="2" fillId="0" borderId="123" xfId="314" applyFont="1" applyBorder="1" applyAlignment="1">
      <alignment horizontal="center" vertical="top"/>
    </xf>
    <xf numFmtId="260" fontId="2" fillId="0" borderId="111" xfId="314" applyNumberFormat="1" applyFont="1" applyBorder="1" applyAlignment="1">
      <alignment horizontal="center" vertical="top"/>
    </xf>
    <xf numFmtId="0" fontId="2" fillId="0" borderId="112" xfId="314" applyFont="1" applyBorder="1" applyAlignment="1">
      <alignment horizontal="center" vertical="top"/>
    </xf>
    <xf numFmtId="0" fontId="2" fillId="0" borderId="83" xfId="314" applyFont="1" applyBorder="1" applyAlignment="1">
      <alignment horizontal="center" vertical="top"/>
    </xf>
    <xf numFmtId="0" fontId="13" fillId="0" borderId="107" xfId="314" applyFont="1" applyBorder="1" applyAlignment="1">
      <alignment vertical="top"/>
    </xf>
    <xf numFmtId="0" fontId="2" fillId="0" borderId="84" xfId="314" applyFont="1" applyBorder="1" applyAlignment="1">
      <alignment vertical="top"/>
    </xf>
    <xf numFmtId="260" fontId="2" fillId="0" borderId="85" xfId="314" applyNumberFormat="1" applyFont="1" applyBorder="1" applyAlignment="1">
      <alignment horizontal="center" vertical="top"/>
    </xf>
    <xf numFmtId="0" fontId="2" fillId="0" borderId="108" xfId="314" applyFont="1" applyBorder="1" applyAlignment="1">
      <alignment horizontal="center" vertical="top"/>
    </xf>
    <xf numFmtId="0" fontId="13" fillId="0" borderId="96" xfId="314" applyFont="1" applyBorder="1" applyAlignment="1">
      <alignment horizontal="center" vertical="top"/>
    </xf>
    <xf numFmtId="14" fontId="2" fillId="0" borderId="98" xfId="314" applyNumberFormat="1" applyFont="1" applyBorder="1" applyAlignment="1">
      <alignment horizontal="center" vertical="top"/>
    </xf>
    <xf numFmtId="0" fontId="2" fillId="0" borderId="99" xfId="314" applyFont="1" applyBorder="1" applyAlignment="1">
      <alignment horizontal="center" vertical="top"/>
    </xf>
    <xf numFmtId="0" fontId="2" fillId="0" borderId="107" xfId="314" applyFont="1" applyBorder="1" applyAlignment="1">
      <alignment horizontal="center" vertical="top"/>
    </xf>
    <xf numFmtId="0" fontId="2" fillId="0" borderId="85" xfId="314" applyFont="1" applyBorder="1" applyAlignment="1">
      <alignment horizontal="center" vertical="top"/>
    </xf>
    <xf numFmtId="0" fontId="13" fillId="0" borderId="107" xfId="314" applyFont="1" applyBorder="1" applyAlignment="1">
      <alignment horizontal="center" vertical="top"/>
    </xf>
    <xf numFmtId="0" fontId="13" fillId="0" borderId="84" xfId="314" applyFont="1" applyBorder="1" applyAlignment="1">
      <alignment vertical="top"/>
    </xf>
    <xf numFmtId="0" fontId="13" fillId="0" borderId="83" xfId="314" applyFont="1" applyBorder="1" applyAlignment="1">
      <alignment horizontal="center" vertical="top"/>
    </xf>
    <xf numFmtId="14" fontId="2" fillId="0" borderId="85" xfId="314" applyNumberFormat="1" applyFont="1" applyBorder="1" applyAlignment="1">
      <alignment horizontal="center" vertical="top"/>
    </xf>
    <xf numFmtId="0" fontId="2" fillId="0" borderId="96" xfId="314" applyFont="1" applyBorder="1" applyAlignment="1">
      <alignment horizontal="center" vertical="top"/>
    </xf>
    <xf numFmtId="260" fontId="2" fillId="0" borderId="98" xfId="314" applyNumberFormat="1" applyFont="1" applyBorder="1" applyAlignment="1">
      <alignment horizontal="center" vertical="top"/>
    </xf>
    <xf numFmtId="0" fontId="49" fillId="0" borderId="108" xfId="314" applyFont="1" applyBorder="1" applyAlignment="1">
      <alignment horizontal="center" vertical="top"/>
    </xf>
    <xf numFmtId="0" fontId="2" fillId="0" borderId="96" xfId="314" applyFont="1" applyBorder="1" applyAlignment="1">
      <alignment vertical="top"/>
    </xf>
    <xf numFmtId="0" fontId="2" fillId="0" borderId="97" xfId="314" applyFont="1" applyBorder="1" applyAlignment="1">
      <alignment horizontal="center" vertical="top"/>
    </xf>
    <xf numFmtId="0" fontId="2" fillId="0" borderId="0" xfId="314" applyFont="1" applyAlignment="1">
      <alignment vertical="top"/>
    </xf>
    <xf numFmtId="0" fontId="2" fillId="0" borderId="98" xfId="314" applyFont="1" applyBorder="1" applyAlignment="1">
      <alignment horizontal="center" vertical="top"/>
    </xf>
    <xf numFmtId="0" fontId="13" fillId="0" borderId="97" xfId="314" applyFont="1" applyBorder="1" applyAlignment="1">
      <alignment vertical="top"/>
    </xf>
    <xf numFmtId="0" fontId="2" fillId="0" borderId="90" xfId="314" applyFont="1" applyBorder="1"/>
    <xf numFmtId="0" fontId="2" fillId="0" borderId="126" xfId="314" applyFont="1" applyBorder="1" applyAlignment="1">
      <alignment horizontal="center" vertical="center"/>
    </xf>
    <xf numFmtId="0" fontId="2" fillId="0" borderId="91" xfId="314" applyFont="1" applyBorder="1" applyAlignment="1">
      <alignment horizontal="left" vertical="center"/>
    </xf>
    <xf numFmtId="0" fontId="49" fillId="0" borderId="127" xfId="314" applyFont="1" applyBorder="1" applyAlignment="1">
      <alignment horizontal="right" vertical="center"/>
    </xf>
    <xf numFmtId="0" fontId="49" fillId="0" borderId="128" xfId="314" applyFont="1" applyBorder="1" applyAlignment="1">
      <alignment horizontal="center" vertical="center"/>
    </xf>
    <xf numFmtId="0" fontId="2" fillId="0" borderId="96" xfId="314" applyFont="1" applyBorder="1"/>
    <xf numFmtId="0" fontId="2" fillId="0" borderId="0" xfId="314" applyFont="1" applyAlignment="1">
      <alignment horizontal="center" vertical="center"/>
    </xf>
    <xf numFmtId="0" fontId="2" fillId="0" borderId="0" xfId="314" applyFont="1" applyAlignment="1">
      <alignment horizontal="left" vertical="center"/>
    </xf>
    <xf numFmtId="0" fontId="2" fillId="0" borderId="0" xfId="314" applyFont="1" applyAlignment="1">
      <alignment horizontal="right" vertical="center"/>
    </xf>
    <xf numFmtId="0" fontId="2" fillId="0" borderId="129" xfId="314" applyFont="1" applyBorder="1" applyAlignment="1">
      <alignment horizontal="center" vertical="center"/>
    </xf>
    <xf numFmtId="0" fontId="13" fillId="0" borderId="79" xfId="314" applyFont="1" applyBorder="1" applyAlignment="1">
      <alignment horizontal="center"/>
    </xf>
    <xf numFmtId="14" fontId="2" fillId="0" borderId="81" xfId="314" applyNumberFormat="1" applyFont="1" applyBorder="1" applyAlignment="1">
      <alignment horizontal="center"/>
    </xf>
    <xf numFmtId="0" fontId="2" fillId="0" borderId="95" xfId="314" applyFont="1" applyBorder="1" applyAlignment="1">
      <alignment horizontal="center" vertical="center"/>
    </xf>
    <xf numFmtId="0" fontId="2" fillId="0" borderId="96" xfId="314" applyFont="1" applyBorder="1" applyAlignment="1">
      <alignment horizontal="center"/>
    </xf>
    <xf numFmtId="251" fontId="2" fillId="6" borderId="98" xfId="314" applyNumberFormat="1" applyFont="1" applyFill="1" applyBorder="1" applyAlignment="1">
      <alignment horizontal="center"/>
    </xf>
    <xf numFmtId="0" fontId="2" fillId="0" borderId="90" xfId="314" applyFont="1" applyBorder="1" applyAlignment="1">
      <alignment horizontal="center"/>
    </xf>
    <xf numFmtId="0" fontId="2" fillId="0" borderId="126" xfId="314" applyFont="1" applyBorder="1"/>
    <xf numFmtId="14" fontId="2" fillId="0" borderId="127" xfId="314" applyNumberFormat="1" applyFont="1" applyBorder="1" applyAlignment="1">
      <alignment horizontal="center"/>
    </xf>
    <xf numFmtId="0" fontId="2" fillId="0" borderId="128" xfId="314" applyFont="1" applyBorder="1" applyAlignment="1">
      <alignment horizontal="center" vertical="center"/>
    </xf>
    <xf numFmtId="0" fontId="2" fillId="0" borderId="80" xfId="314" applyFont="1" applyBorder="1" applyAlignment="1">
      <alignment horizontal="center" vertical="center"/>
    </xf>
    <xf numFmtId="0" fontId="2" fillId="0" borderId="80" xfId="314" applyFont="1" applyBorder="1" applyAlignment="1">
      <alignment horizontal="left" vertical="center"/>
    </xf>
    <xf numFmtId="0" fontId="2" fillId="0" borderId="80" xfId="314" applyFont="1" applyBorder="1" applyAlignment="1">
      <alignment horizontal="right" vertical="center"/>
    </xf>
    <xf numFmtId="0" fontId="13" fillId="0" borderId="0" xfId="303" applyFont="1" applyAlignment="1">
      <alignment horizontal="center"/>
    </xf>
    <xf numFmtId="0" fontId="25" fillId="0" borderId="56" xfId="0" applyFont="1" applyBorder="1" applyAlignment="1">
      <alignment horizontal="center" vertical="center"/>
    </xf>
    <xf numFmtId="0" fontId="25" fillId="0" borderId="59" xfId="0" applyFont="1" applyBorder="1"/>
    <xf numFmtId="0" fontId="13" fillId="0" borderId="130" xfId="314" applyFont="1" applyBorder="1" applyAlignment="1">
      <alignment horizontal="center" vertical="top"/>
    </xf>
    <xf numFmtId="0" fontId="13" fillId="0" borderId="131" xfId="314" applyFont="1" applyBorder="1" applyAlignment="1">
      <alignment vertical="top"/>
    </xf>
    <xf numFmtId="0" fontId="2" fillId="0" borderId="132" xfId="314" applyFont="1" applyBorder="1" applyAlignment="1">
      <alignment vertical="top"/>
    </xf>
    <xf numFmtId="14" fontId="13" fillId="0" borderId="133" xfId="314" applyNumberFormat="1" applyFont="1" applyBorder="1" applyAlignment="1">
      <alignment horizontal="center" vertical="top"/>
    </xf>
    <xf numFmtId="0" fontId="13" fillId="0" borderId="86" xfId="314" applyFont="1" applyBorder="1" applyAlignment="1">
      <alignment horizontal="center" vertical="top"/>
    </xf>
    <xf numFmtId="0" fontId="2" fillId="0" borderId="134" xfId="314" applyFont="1" applyBorder="1" applyAlignment="1">
      <alignment horizontal="center" vertical="top"/>
    </xf>
    <xf numFmtId="0" fontId="2" fillId="0" borderId="135" xfId="314" applyFont="1" applyBorder="1" applyAlignment="1">
      <alignment vertical="top"/>
    </xf>
    <xf numFmtId="0" fontId="2" fillId="0" borderId="135" xfId="314" applyFont="1" applyBorder="1" applyAlignment="1">
      <alignment vertical="top" wrapText="1"/>
    </xf>
    <xf numFmtId="0" fontId="2" fillId="0" borderId="136" xfId="314" applyFont="1" applyBorder="1" applyAlignment="1">
      <alignment vertical="top" wrapText="1"/>
    </xf>
    <xf numFmtId="14" fontId="2" fillId="0" borderId="137" xfId="314" applyNumberFormat="1" applyFont="1" applyBorder="1" applyAlignment="1">
      <alignment horizontal="center" vertical="top"/>
    </xf>
    <xf numFmtId="0" fontId="2" fillId="0" borderId="138" xfId="314" applyFont="1" applyBorder="1" applyAlignment="1">
      <alignment horizontal="center" vertical="top"/>
    </xf>
    <xf numFmtId="0" fontId="2" fillId="0" borderId="110" xfId="314" applyFont="1" applyBorder="1" applyAlignment="1">
      <alignment vertical="top"/>
    </xf>
    <xf numFmtId="0" fontId="13" fillId="0" borderId="139" xfId="314" applyFont="1" applyBorder="1" applyAlignment="1">
      <alignment vertical="top"/>
    </xf>
    <xf numFmtId="0" fontId="2" fillId="0" borderId="140" xfId="314" applyFont="1" applyBorder="1" applyAlignment="1">
      <alignment vertical="top"/>
    </xf>
    <xf numFmtId="260" fontId="2" fillId="0" borderId="141" xfId="314" applyNumberFormat="1" applyFont="1" applyBorder="1" applyAlignment="1">
      <alignment horizontal="center" vertical="top"/>
    </xf>
    <xf numFmtId="0" fontId="2" fillId="0" borderId="142" xfId="314" applyFont="1" applyBorder="1" applyAlignment="1">
      <alignment horizontal="center" vertical="top"/>
    </xf>
    <xf numFmtId="0" fontId="2" fillId="0" borderId="103" xfId="314" applyFont="1" applyBorder="1" applyAlignment="1">
      <alignment horizontal="center" vertical="top"/>
    </xf>
    <xf numFmtId="14" fontId="2" fillId="0" borderId="144" xfId="314" applyNumberFormat="1" applyFont="1" applyBorder="1" applyAlignment="1">
      <alignment horizontal="center" vertical="top"/>
    </xf>
    <xf numFmtId="0" fontId="2" fillId="0" borderId="144" xfId="314" applyFont="1" applyBorder="1" applyAlignment="1">
      <alignment horizontal="center" vertical="top"/>
    </xf>
    <xf numFmtId="0" fontId="2" fillId="0" borderId="97" xfId="314" applyFont="1" applyBorder="1" applyAlignment="1">
      <alignment horizontal="left" vertical="top"/>
    </xf>
    <xf numFmtId="0" fontId="2" fillId="0" borderId="129" xfId="314" applyFont="1" applyBorder="1"/>
    <xf numFmtId="0" fontId="2" fillId="0" borderId="145" xfId="314" applyFont="1" applyBorder="1" applyAlignment="1">
      <alignment horizontal="center" vertical="top"/>
    </xf>
    <xf numFmtId="0" fontId="2" fillId="0" borderId="101" xfId="314" applyFont="1" applyBorder="1" applyAlignment="1">
      <alignment vertical="top"/>
    </xf>
    <xf numFmtId="14" fontId="2" fillId="0" borderId="102" xfId="314" applyNumberFormat="1" applyFont="1" applyBorder="1" applyAlignment="1">
      <alignment horizontal="center" vertical="top"/>
    </xf>
    <xf numFmtId="260" fontId="2" fillId="0" borderId="144" xfId="314" applyNumberFormat="1" applyFont="1" applyBorder="1" applyAlignment="1">
      <alignment horizontal="center" vertical="top"/>
    </xf>
    <xf numFmtId="0" fontId="2" fillId="0" borderId="148" xfId="314" applyFont="1" applyBorder="1" applyAlignment="1">
      <alignment horizontal="center" vertical="top"/>
    </xf>
    <xf numFmtId="0" fontId="2" fillId="0" borderId="90" xfId="314" applyFont="1" applyBorder="1" applyAlignment="1">
      <alignment horizontal="center" vertical="top"/>
    </xf>
    <xf numFmtId="0" fontId="2" fillId="0" borderId="126" xfId="314" applyFont="1" applyBorder="1" applyAlignment="1">
      <alignment horizontal="center" vertical="top"/>
    </xf>
    <xf numFmtId="0" fontId="2" fillId="0" borderId="91" xfId="314" applyFont="1" applyBorder="1" applyAlignment="1">
      <alignment vertical="top"/>
    </xf>
    <xf numFmtId="260" fontId="2" fillId="0" borderId="127" xfId="314" applyNumberFormat="1" applyFont="1" applyBorder="1" applyAlignment="1">
      <alignment horizontal="center" vertical="top"/>
    </xf>
    <xf numFmtId="0" fontId="2" fillId="0" borderId="128" xfId="314" applyFont="1" applyBorder="1" applyAlignment="1">
      <alignment horizontal="center" vertical="top"/>
    </xf>
    <xf numFmtId="0" fontId="2" fillId="0" borderId="0" xfId="314" applyFont="1" applyAlignment="1">
      <alignment horizontal="right"/>
    </xf>
    <xf numFmtId="259" fontId="2" fillId="0" borderId="0" xfId="0" applyNumberFormat="1" applyFont="1" applyAlignment="1">
      <alignment horizontal="left" vertical="top"/>
    </xf>
    <xf numFmtId="0" fontId="2" fillId="0" borderId="35" xfId="0" applyFont="1" applyBorder="1" applyAlignment="1">
      <alignment horizontal="center" vertical="center"/>
    </xf>
    <xf numFmtId="0" fontId="2" fillId="0" borderId="35" xfId="0" applyFont="1" applyBorder="1" applyAlignment="1">
      <alignment horizontal="center" vertical="top" wrapText="1"/>
    </xf>
    <xf numFmtId="0" fontId="2" fillId="0" borderId="35" xfId="0" applyFont="1" applyBorder="1" applyAlignment="1">
      <alignment horizontal="center" vertical="top"/>
    </xf>
    <xf numFmtId="0" fontId="2" fillId="0" borderId="35" xfId="0" applyFont="1" applyBorder="1" applyAlignment="1">
      <alignment horizontal="center" vertical="center" wrapText="1"/>
    </xf>
    <xf numFmtId="0" fontId="50" fillId="0" borderId="0" xfId="315" applyFont="1"/>
    <xf numFmtId="0" fontId="25" fillId="0" borderId="0" xfId="290"/>
    <xf numFmtId="0" fontId="51" fillId="0" borderId="0" xfId="290" applyFont="1" applyAlignment="1">
      <alignment vertical="top"/>
    </xf>
    <xf numFmtId="0" fontId="51" fillId="0" borderId="0" xfId="290" applyFont="1" applyAlignment="1">
      <alignment horizontal="center" vertical="top"/>
    </xf>
    <xf numFmtId="0" fontId="25" fillId="0" borderId="0" xfId="289"/>
    <xf numFmtId="0" fontId="51" fillId="0" borderId="0" xfId="290" applyFont="1" applyAlignment="1">
      <alignment horizontal="center" vertical="center"/>
    </xf>
    <xf numFmtId="0" fontId="51" fillId="0" borderId="0" xfId="290" applyFont="1"/>
    <xf numFmtId="0" fontId="2" fillId="0" borderId="0" xfId="290" applyFont="1" applyAlignment="1">
      <alignment horizontal="justify" vertical="top" wrapText="1"/>
    </xf>
    <xf numFmtId="0" fontId="2" fillId="0" borderId="17" xfId="290" applyFont="1" applyBorder="1" applyAlignment="1">
      <alignment horizontal="justify" vertical="top" wrapText="1"/>
    </xf>
    <xf numFmtId="0" fontId="51" fillId="0" borderId="15" xfId="290" applyFont="1" applyBorder="1" applyAlignment="1">
      <alignment horizontal="center" vertical="center"/>
    </xf>
    <xf numFmtId="0" fontId="51" fillId="0" borderId="0" xfId="290" applyFont="1" applyAlignment="1">
      <alignment horizontal="left"/>
    </xf>
    <xf numFmtId="0" fontId="51" fillId="0" borderId="15" xfId="290" applyFont="1" applyBorder="1" applyAlignment="1">
      <alignment horizontal="left" vertical="center"/>
    </xf>
    <xf numFmtId="0" fontId="51" fillId="0" borderId="0" xfId="290" applyFont="1" applyAlignment="1">
      <alignment horizontal="left" vertical="center"/>
    </xf>
    <xf numFmtId="0" fontId="25" fillId="0" borderId="15" xfId="290" applyBorder="1" applyAlignment="1">
      <alignment horizontal="left" vertical="top"/>
    </xf>
    <xf numFmtId="0" fontId="25" fillId="0" borderId="0" xfId="290" applyAlignment="1">
      <alignment horizontal="left" vertical="top"/>
    </xf>
    <xf numFmtId="0" fontId="25" fillId="0" borderId="0" xfId="290" applyAlignment="1">
      <alignment vertical="top"/>
    </xf>
    <xf numFmtId="0" fontId="25" fillId="0" borderId="0" xfId="290" applyAlignment="1">
      <alignment vertical="top" wrapText="1"/>
    </xf>
    <xf numFmtId="0" fontId="25" fillId="0" borderId="15" xfId="290" applyBorder="1" applyAlignment="1">
      <alignment horizontal="center" vertical="top"/>
    </xf>
    <xf numFmtId="0" fontId="25" fillId="0" borderId="0" xfId="290" applyAlignment="1">
      <alignment horizontal="center" vertical="top"/>
    </xf>
    <xf numFmtId="0" fontId="36" fillId="8" borderId="149" xfId="290" applyFont="1" applyFill="1" applyBorder="1" applyAlignment="1">
      <alignment horizontal="center" vertical="top" wrapText="1"/>
    </xf>
    <xf numFmtId="0" fontId="36" fillId="8" borderId="11" xfId="290" applyFont="1" applyFill="1" applyBorder="1" applyAlignment="1">
      <alignment horizontal="center" vertical="top" wrapText="1"/>
    </xf>
    <xf numFmtId="0" fontId="36" fillId="9" borderId="150" xfId="290" applyFont="1" applyFill="1" applyBorder="1" applyAlignment="1">
      <alignment horizontal="center" vertical="top" wrapText="1"/>
    </xf>
    <xf numFmtId="0" fontId="36" fillId="9" borderId="8" xfId="290" applyFont="1" applyFill="1" applyBorder="1" applyAlignment="1">
      <alignment horizontal="center" vertical="top" wrapText="1"/>
    </xf>
    <xf numFmtId="0" fontId="36" fillId="9" borderId="8" xfId="290" applyFont="1" applyFill="1" applyBorder="1" applyAlignment="1">
      <alignment horizontal="left" vertical="top"/>
    </xf>
    <xf numFmtId="0" fontId="36" fillId="9" borderId="8" xfId="290" applyFont="1" applyFill="1" applyBorder="1" applyAlignment="1">
      <alignment horizontal="left" vertical="top" wrapText="1"/>
    </xf>
    <xf numFmtId="0" fontId="25" fillId="9" borderId="8" xfId="290" applyFill="1" applyBorder="1" applyAlignment="1">
      <alignment horizontal="left" vertical="top" wrapText="1"/>
    </xf>
    <xf numFmtId="0" fontId="25" fillId="9" borderId="8" xfId="290" applyFill="1" applyBorder="1" applyAlignment="1">
      <alignment vertical="top"/>
    </xf>
    <xf numFmtId="0" fontId="25" fillId="0" borderId="151" xfId="290" applyBorder="1" applyAlignment="1">
      <alignment horizontal="center" vertical="top" wrapText="1"/>
    </xf>
    <xf numFmtId="0" fontId="25" fillId="0" borderId="0" xfId="290" applyAlignment="1">
      <alignment horizontal="center" vertical="top" wrapText="1"/>
    </xf>
    <xf numFmtId="0" fontId="25" fillId="0" borderId="32" xfId="290" applyBorder="1" applyAlignment="1">
      <alignment horizontal="left" vertical="top"/>
    </xf>
    <xf numFmtId="0" fontId="25" fillId="0" borderId="33" xfId="290" applyBorder="1" applyAlignment="1">
      <alignment horizontal="left" vertical="top"/>
    </xf>
    <xf numFmtId="265" fontId="25" fillId="0" borderId="33" xfId="290" applyNumberFormat="1" applyBorder="1" applyAlignment="1">
      <alignment horizontal="left" vertical="top"/>
    </xf>
    <xf numFmtId="0" fontId="36" fillId="9" borderId="151" xfId="290" applyFont="1" applyFill="1" applyBorder="1" applyAlignment="1">
      <alignment horizontal="center" vertical="top" wrapText="1"/>
    </xf>
    <xf numFmtId="0" fontId="36" fillId="9" borderId="0" xfId="290" applyFont="1" applyFill="1" applyAlignment="1">
      <alignment horizontal="center" vertical="top" wrapText="1"/>
    </xf>
    <xf numFmtId="0" fontId="36" fillId="9" borderId="0" xfId="290" applyFont="1" applyFill="1" applyAlignment="1">
      <alignment horizontal="left" vertical="top"/>
    </xf>
    <xf numFmtId="0" fontId="36" fillId="9" borderId="0" xfId="290" applyFont="1" applyFill="1" applyAlignment="1">
      <alignment horizontal="center" vertical="top"/>
    </xf>
    <xf numFmtId="0" fontId="25" fillId="9" borderId="0" xfId="290" applyFill="1" applyAlignment="1">
      <alignment vertical="top"/>
    </xf>
    <xf numFmtId="0" fontId="53" fillId="0" borderId="35" xfId="290" applyFont="1" applyBorder="1" applyAlignment="1">
      <alignment horizontal="center" vertical="top"/>
    </xf>
    <xf numFmtId="0" fontId="25" fillId="0" borderId="33" xfId="290" applyBorder="1" applyAlignment="1">
      <alignment vertical="top"/>
    </xf>
    <xf numFmtId="0" fontId="25" fillId="0" borderId="15" xfId="290" applyBorder="1" applyAlignment="1">
      <alignment horizontal="center" vertical="top" wrapText="1"/>
    </xf>
    <xf numFmtId="0" fontId="36" fillId="0" borderId="0" xfId="290" applyFont="1" applyAlignment="1">
      <alignment horizontal="center" vertical="top"/>
    </xf>
    <xf numFmtId="0" fontId="25" fillId="0" borderId="34" xfId="290" applyBorder="1" applyAlignment="1">
      <alignment horizontal="left" vertical="top"/>
    </xf>
    <xf numFmtId="0" fontId="36" fillId="0" borderId="150" xfId="290" applyFont="1" applyBorder="1" applyAlignment="1">
      <alignment horizontal="center" vertical="top"/>
    </xf>
    <xf numFmtId="0" fontId="25" fillId="0" borderId="8" xfId="290" applyBorder="1" applyAlignment="1">
      <alignment horizontal="left" vertical="top"/>
    </xf>
    <xf numFmtId="0" fontId="36" fillId="0" borderId="149" xfId="290" applyFont="1" applyBorder="1" applyAlignment="1">
      <alignment horizontal="center" vertical="top"/>
    </xf>
    <xf numFmtId="0" fontId="36" fillId="0" borderId="35" xfId="290" applyFont="1" applyBorder="1" applyAlignment="1">
      <alignment horizontal="center" vertical="top"/>
    </xf>
    <xf numFmtId="0" fontId="25" fillId="0" borderId="149" xfId="290" applyBorder="1" applyAlignment="1">
      <alignment horizontal="center" vertical="top" wrapText="1"/>
    </xf>
    <xf numFmtId="0" fontId="25" fillId="0" borderId="12" xfId="290" applyBorder="1" applyAlignment="1">
      <alignment horizontal="center" vertical="top" wrapText="1"/>
    </xf>
    <xf numFmtId="0" fontId="25" fillId="0" borderId="12" xfId="290" applyBorder="1" applyAlignment="1">
      <alignment horizontal="left" vertical="top"/>
    </xf>
    <xf numFmtId="0" fontId="25" fillId="0" borderId="12" xfId="290" applyBorder="1" applyAlignment="1">
      <alignment horizontal="center" vertical="top"/>
    </xf>
    <xf numFmtId="0" fontId="25" fillId="0" borderId="12" xfId="290" applyBorder="1" applyAlignment="1">
      <alignment vertical="top"/>
    </xf>
    <xf numFmtId="0" fontId="36" fillId="9" borderId="8" xfId="290" applyFont="1" applyFill="1" applyBorder="1" applyAlignment="1">
      <alignment horizontal="center" vertical="top"/>
    </xf>
    <xf numFmtId="0" fontId="54" fillId="0" borderId="151" xfId="290" applyFont="1" applyBorder="1" applyAlignment="1">
      <alignment horizontal="center" vertical="top" wrapText="1"/>
    </xf>
    <xf numFmtId="0" fontId="54" fillId="0" borderId="15" xfId="290" applyFont="1" applyBorder="1" applyAlignment="1">
      <alignment horizontal="center" vertical="top" wrapText="1"/>
    </xf>
    <xf numFmtId="0" fontId="51" fillId="0" borderId="0" xfId="290" applyFont="1" applyAlignment="1">
      <alignment horizontal="left" vertical="top" wrapText="1"/>
    </xf>
    <xf numFmtId="0" fontId="51" fillId="0" borderId="0" xfId="290" applyFont="1" applyAlignment="1">
      <alignment horizontal="left" vertical="top"/>
    </xf>
    <xf numFmtId="0" fontId="54" fillId="9" borderId="149" xfId="290" applyFont="1" applyFill="1" applyBorder="1" applyAlignment="1">
      <alignment horizontal="center" vertical="center" wrapText="1"/>
    </xf>
    <xf numFmtId="0" fontId="54" fillId="9" borderId="12" xfId="290" applyFont="1" applyFill="1" applyBorder="1" applyAlignment="1">
      <alignment horizontal="center" vertical="center" wrapText="1"/>
    </xf>
    <xf numFmtId="0" fontId="54" fillId="9" borderId="12" xfId="290" applyFont="1" applyFill="1" applyBorder="1" applyAlignment="1">
      <alignment horizontal="left" vertical="center"/>
    </xf>
    <xf numFmtId="0" fontId="54" fillId="9" borderId="12" xfId="290" applyFont="1" applyFill="1" applyBorder="1" applyAlignment="1">
      <alignment horizontal="left" vertical="center" wrapText="1"/>
    </xf>
    <xf numFmtId="0" fontId="25" fillId="0" borderId="15" xfId="290" applyBorder="1" applyAlignment="1">
      <alignment vertical="top"/>
    </xf>
    <xf numFmtId="0" fontId="36" fillId="0" borderId="33" xfId="290" applyFont="1" applyBorder="1" applyAlignment="1">
      <alignment horizontal="center" vertical="top"/>
    </xf>
    <xf numFmtId="0" fontId="25" fillId="0" borderId="150" xfId="290" applyBorder="1" applyAlignment="1">
      <alignment vertical="top"/>
    </xf>
    <xf numFmtId="0" fontId="36" fillId="0" borderId="12" xfId="290" applyFont="1" applyBorder="1" applyAlignment="1">
      <alignment horizontal="center" vertical="top"/>
    </xf>
    <xf numFmtId="0" fontId="25" fillId="0" borderId="35" xfId="290" applyBorder="1" applyAlignment="1">
      <alignment vertical="top"/>
    </xf>
    <xf numFmtId="0" fontId="51" fillId="0" borderId="18" xfId="290" applyFont="1" applyBorder="1"/>
    <xf numFmtId="0" fontId="25" fillId="0" borderId="18" xfId="290" applyBorder="1" applyAlignment="1">
      <alignment vertical="top" wrapText="1"/>
    </xf>
    <xf numFmtId="0" fontId="55" fillId="0" borderId="0" xfId="290" applyFont="1" applyAlignment="1">
      <alignment horizontal="left" vertical="center"/>
    </xf>
    <xf numFmtId="0" fontId="25" fillId="0" borderId="18" xfId="290" applyBorder="1" applyAlignment="1">
      <alignment vertical="top"/>
    </xf>
    <xf numFmtId="0" fontId="25" fillId="9" borderId="9" xfId="290" applyFill="1" applyBorder="1" applyAlignment="1">
      <alignment vertical="top"/>
    </xf>
    <xf numFmtId="265" fontId="25" fillId="0" borderId="34" xfId="290" applyNumberFormat="1" applyBorder="1" applyAlignment="1">
      <alignment horizontal="left" vertical="top"/>
    </xf>
    <xf numFmtId="0" fontId="55" fillId="0" borderId="0" xfId="290" applyFont="1" applyAlignment="1">
      <alignment horizontal="left" vertical="top"/>
    </xf>
    <xf numFmtId="0" fontId="25" fillId="9" borderId="18" xfId="290" applyFill="1" applyBorder="1" applyAlignment="1">
      <alignment vertical="top"/>
    </xf>
    <xf numFmtId="0" fontId="25" fillId="0" borderId="34" xfId="290" applyBorder="1" applyAlignment="1">
      <alignment vertical="top"/>
    </xf>
    <xf numFmtId="0" fontId="25" fillId="0" borderId="9" xfId="290" applyBorder="1" applyAlignment="1">
      <alignment horizontal="left" vertical="top"/>
    </xf>
    <xf numFmtId="0" fontId="25" fillId="0" borderId="13" xfId="290" applyBorder="1" applyAlignment="1">
      <alignment vertical="top"/>
    </xf>
    <xf numFmtId="0" fontId="54" fillId="9" borderId="13" xfId="290" applyFont="1" applyFill="1" applyBorder="1" applyAlignment="1">
      <alignment horizontal="left" vertical="center" wrapText="1"/>
    </xf>
    <xf numFmtId="0" fontId="51" fillId="0" borderId="0" xfId="290" applyFont="1" applyAlignment="1">
      <alignment horizontal="center" vertical="center" wrapText="1"/>
    </xf>
    <xf numFmtId="0" fontId="54" fillId="0" borderId="0" xfId="290" applyFont="1" applyAlignment="1">
      <alignment horizontal="center" vertical="center" wrapText="1"/>
    </xf>
    <xf numFmtId="0" fontId="54" fillId="0" borderId="3" xfId="290" applyFont="1" applyBorder="1" applyAlignment="1">
      <alignment horizontal="left" vertical="center"/>
    </xf>
    <xf numFmtId="0" fontId="54" fillId="0" borderId="0" xfId="290" applyFont="1" applyAlignment="1">
      <alignment horizontal="left" vertical="center"/>
    </xf>
    <xf numFmtId="0" fontId="51" fillId="0" borderId="3" xfId="290" applyFont="1" applyBorder="1" applyAlignment="1">
      <alignment vertical="top"/>
    </xf>
    <xf numFmtId="0" fontId="51" fillId="0" borderId="0" xfId="290" applyFont="1" applyAlignment="1">
      <alignment vertical="top" wrapText="1"/>
    </xf>
    <xf numFmtId="0" fontId="54" fillId="0" borderId="3" xfId="290" applyFont="1" applyBorder="1" applyAlignment="1">
      <alignment horizontal="center" vertical="top"/>
    </xf>
    <xf numFmtId="0" fontId="54" fillId="0" borderId="0" xfId="290" applyFont="1" applyAlignment="1">
      <alignment vertical="top"/>
    </xf>
    <xf numFmtId="0" fontId="54" fillId="0" borderId="18" xfId="290" applyFont="1" applyBorder="1" applyAlignment="1">
      <alignment horizontal="center" vertical="center" wrapText="1"/>
    </xf>
    <xf numFmtId="0" fontId="54" fillId="10" borderId="35" xfId="290" applyFont="1" applyFill="1" applyBorder="1" applyAlignment="1">
      <alignment horizontal="center" vertical="center" wrapText="1"/>
    </xf>
    <xf numFmtId="0" fontId="54" fillId="10" borderId="33" xfId="290" applyFont="1" applyFill="1" applyBorder="1" applyAlignment="1">
      <alignment horizontal="center" vertical="center" wrapText="1"/>
    </xf>
    <xf numFmtId="0" fontId="51" fillId="0" borderId="18" xfId="290" applyFont="1" applyBorder="1" applyAlignment="1">
      <alignment horizontal="center" vertical="top" wrapText="1"/>
    </xf>
    <xf numFmtId="0" fontId="51" fillId="0" borderId="151" xfId="290" applyFont="1" applyBorder="1" applyAlignment="1">
      <alignment horizontal="center" vertical="top" wrapText="1"/>
    </xf>
    <xf numFmtId="0" fontId="51" fillId="0" borderId="8" xfId="290" applyFont="1" applyBorder="1" applyAlignment="1">
      <alignment horizontal="left" vertical="center"/>
    </xf>
    <xf numFmtId="0" fontId="51" fillId="0" borderId="8" xfId="290" applyFont="1" applyBorder="1" applyAlignment="1">
      <alignment horizontal="left" vertical="center" wrapText="1"/>
    </xf>
    <xf numFmtId="0" fontId="51" fillId="0" borderId="0" xfId="290" applyFont="1" applyAlignment="1">
      <alignment horizontal="left" vertical="center" wrapText="1"/>
    </xf>
    <xf numFmtId="0" fontId="51" fillId="0" borderId="15" xfId="290" applyFont="1" applyBorder="1" applyAlignment="1">
      <alignment horizontal="center" vertical="top" wrapText="1"/>
    </xf>
    <xf numFmtId="0" fontId="57" fillId="0" borderId="0" xfId="290" applyFont="1" applyAlignment="1">
      <alignment horizontal="left" vertical="top"/>
    </xf>
    <xf numFmtId="0" fontId="57" fillId="0" borderId="0" xfId="290" applyFont="1" applyAlignment="1">
      <alignment horizontal="left" vertical="top" wrapText="1"/>
    </xf>
    <xf numFmtId="0" fontId="54" fillId="0" borderId="18" xfId="290" applyFont="1" applyBorder="1" applyAlignment="1">
      <alignment horizontal="center" vertical="top" wrapText="1"/>
    </xf>
    <xf numFmtId="0" fontId="54" fillId="0" borderId="0" xfId="290" applyFont="1" applyAlignment="1">
      <alignment horizontal="center" vertical="top" wrapText="1"/>
    </xf>
    <xf numFmtId="0" fontId="54" fillId="0" borderId="11" xfId="290" applyFont="1" applyBorder="1" applyAlignment="1">
      <alignment horizontal="center" vertical="top" wrapText="1"/>
    </xf>
    <xf numFmtId="0" fontId="54" fillId="0" borderId="12" xfId="290" applyFont="1" applyBorder="1" applyAlignment="1">
      <alignment horizontal="center" vertical="top" wrapText="1"/>
    </xf>
    <xf numFmtId="0" fontId="54" fillId="0" borderId="0" xfId="290" applyFont="1" applyAlignment="1">
      <alignment horizontal="center" vertical="top"/>
    </xf>
    <xf numFmtId="0" fontId="25" fillId="0" borderId="0" xfId="289" applyAlignment="1">
      <alignment horizontal="center" vertical="top"/>
    </xf>
    <xf numFmtId="0" fontId="36" fillId="11" borderId="152" xfId="289" applyFont="1" applyFill="1" applyBorder="1" applyAlignment="1">
      <alignment horizontal="center" vertical="top"/>
    </xf>
    <xf numFmtId="0" fontId="25" fillId="0" borderId="155" xfId="289" applyBorder="1" applyAlignment="1">
      <alignment horizontal="center" vertical="top"/>
    </xf>
    <xf numFmtId="0" fontId="25" fillId="0" borderId="161" xfId="289" applyBorder="1" applyAlignment="1">
      <alignment horizontal="center" vertical="top"/>
    </xf>
    <xf numFmtId="0" fontId="25" fillId="0" borderId="162" xfId="289" applyBorder="1" applyAlignment="1">
      <alignment horizontal="center" vertical="top"/>
    </xf>
    <xf numFmtId="0" fontId="25" fillId="0" borderId="0" xfId="289" applyAlignment="1">
      <alignment horizontal="justify" vertical="top" wrapText="1"/>
    </xf>
    <xf numFmtId="0" fontId="51" fillId="0" borderId="0" xfId="290" applyFont="1" applyAlignment="1">
      <alignment vertical="center"/>
    </xf>
    <xf numFmtId="267" fontId="51" fillId="0" borderId="0" xfId="290" applyNumberFormat="1" applyFont="1" applyAlignment="1">
      <alignment vertical="center"/>
    </xf>
    <xf numFmtId="0" fontId="19" fillId="0" borderId="0" xfId="289" applyFont="1" applyAlignment="1">
      <alignment vertical="top"/>
    </xf>
    <xf numFmtId="0" fontId="51" fillId="0" borderId="10" xfId="290" applyFont="1" applyBorder="1"/>
    <xf numFmtId="0" fontId="58" fillId="0" borderId="0" xfId="290" applyFont="1"/>
    <xf numFmtId="0" fontId="58" fillId="0" borderId="171" xfId="290" applyFont="1" applyBorder="1"/>
    <xf numFmtId="267" fontId="51" fillId="0" borderId="18" xfId="290" applyNumberFormat="1" applyFont="1" applyBorder="1" applyAlignment="1">
      <alignment vertical="center"/>
    </xf>
    <xf numFmtId="0" fontId="51" fillId="0" borderId="18" xfId="290" applyFont="1" applyBorder="1" applyAlignment="1">
      <alignment vertical="top"/>
    </xf>
    <xf numFmtId="0" fontId="58" fillId="0" borderId="172" xfId="290" applyFont="1" applyBorder="1"/>
    <xf numFmtId="270" fontId="51" fillId="0" borderId="0" xfId="146" applyNumberFormat="1" applyFont="1"/>
    <xf numFmtId="0" fontId="51" fillId="0" borderId="0" xfId="0" applyFont="1"/>
    <xf numFmtId="0" fontId="58" fillId="0" borderId="0" xfId="0" applyFont="1"/>
    <xf numFmtId="0" fontId="58" fillId="0" borderId="171" xfId="0" applyFont="1" applyBorder="1"/>
    <xf numFmtId="0" fontId="51" fillId="0" borderId="0" xfId="0" applyFont="1" applyAlignment="1">
      <alignment vertical="center"/>
    </xf>
    <xf numFmtId="0" fontId="58" fillId="0" borderId="172" xfId="0" applyFont="1" applyBorder="1"/>
    <xf numFmtId="0" fontId="36" fillId="0" borderId="0" xfId="289" applyFont="1" applyAlignment="1">
      <alignment horizontal="center" vertical="top"/>
    </xf>
    <xf numFmtId="0" fontId="36" fillId="0" borderId="0" xfId="289" applyFont="1" applyAlignment="1">
      <alignment vertical="top"/>
    </xf>
    <xf numFmtId="0" fontId="25" fillId="0" borderId="0" xfId="289" applyAlignment="1">
      <alignment vertical="top"/>
    </xf>
    <xf numFmtId="0" fontId="51" fillId="0" borderId="12" xfId="290" applyFont="1" applyBorder="1" applyAlignment="1">
      <alignment horizontal="left"/>
    </xf>
    <xf numFmtId="0" fontId="51" fillId="0" borderId="12" xfId="290" applyFont="1" applyBorder="1"/>
    <xf numFmtId="0" fontId="54" fillId="0" borderId="0" xfId="290" applyFont="1" applyAlignment="1">
      <alignment horizontal="left" vertical="center" wrapText="1"/>
    </xf>
    <xf numFmtId="0" fontId="51" fillId="0" borderId="0" xfId="290" applyFont="1" applyAlignment="1">
      <alignment horizontal="left" wrapText="1"/>
    </xf>
    <xf numFmtId="0" fontId="55" fillId="0" borderId="0" xfId="290" applyFont="1" applyAlignment="1">
      <alignment horizontal="left"/>
    </xf>
    <xf numFmtId="0" fontId="55" fillId="0" borderId="0" xfId="290" applyFont="1"/>
    <xf numFmtId="0" fontId="51" fillId="0" borderId="33" xfId="290" applyFont="1" applyBorder="1"/>
    <xf numFmtId="0" fontId="34" fillId="0" borderId="0" xfId="0" applyFont="1" applyAlignment="1">
      <alignment horizontal="justify" vertical="top"/>
    </xf>
    <xf numFmtId="0" fontId="12" fillId="0" borderId="174" xfId="0" applyFont="1" applyBorder="1" applyAlignment="1">
      <alignment horizontal="center" vertical="top"/>
    </xf>
    <xf numFmtId="255" fontId="2" fillId="0" borderId="174" xfId="0" applyNumberFormat="1" applyFont="1" applyBorder="1" applyAlignment="1">
      <alignment vertical="top" wrapText="1"/>
    </xf>
    <xf numFmtId="3" fontId="2" fillId="0" borderId="174" xfId="0" applyNumberFormat="1" applyFont="1" applyBorder="1" applyAlignment="1">
      <alignment vertical="top"/>
    </xf>
    <xf numFmtId="0" fontId="12" fillId="0" borderId="177" xfId="0" applyFont="1" applyBorder="1" applyAlignment="1">
      <alignment horizontal="center" vertical="top"/>
    </xf>
    <xf numFmtId="255" fontId="2" fillId="0" borderId="177" xfId="0" applyNumberFormat="1" applyFont="1" applyBorder="1" applyAlignment="1">
      <alignment vertical="top" wrapText="1"/>
    </xf>
    <xf numFmtId="3" fontId="2" fillId="0" borderId="177" xfId="0" applyNumberFormat="1" applyFont="1" applyBorder="1" applyAlignment="1">
      <alignment vertical="top"/>
    </xf>
    <xf numFmtId="0" fontId="12" fillId="0" borderId="180" xfId="0" applyFont="1" applyBorder="1" applyAlignment="1">
      <alignment horizontal="center" vertical="top"/>
    </xf>
    <xf numFmtId="255" fontId="2" fillId="0" borderId="180" xfId="0" applyNumberFormat="1" applyFont="1" applyBorder="1" applyAlignment="1">
      <alignment vertical="top" wrapText="1"/>
    </xf>
    <xf numFmtId="3" fontId="2" fillId="0" borderId="180" xfId="0" applyNumberFormat="1" applyFont="1" applyBorder="1" applyAlignment="1">
      <alignment vertical="top"/>
    </xf>
    <xf numFmtId="0" fontId="25" fillId="0" borderId="0" xfId="288"/>
    <xf numFmtId="0" fontId="60" fillId="0" borderId="0" xfId="288" applyFont="1"/>
    <xf numFmtId="0" fontId="61" fillId="0" borderId="0" xfId="288" applyFont="1"/>
    <xf numFmtId="0" fontId="62" fillId="0" borderId="35" xfId="288" applyFont="1" applyBorder="1" applyAlignment="1">
      <alignment horizontal="center"/>
    </xf>
    <xf numFmtId="0" fontId="63" fillId="0" borderId="0" xfId="288" applyFont="1"/>
    <xf numFmtId="0" fontId="48" fillId="0" borderId="0" xfId="0" applyFont="1" applyAlignment="1">
      <alignment horizontal="center" vertical="top" shrinkToFit="1"/>
    </xf>
    <xf numFmtId="0" fontId="64" fillId="0" borderId="0" xfId="0" applyFont="1" applyAlignment="1">
      <alignment horizontal="center" vertical="center" shrinkToFit="1"/>
    </xf>
    <xf numFmtId="0" fontId="23" fillId="0" borderId="17" xfId="0" applyFont="1" applyBorder="1" applyAlignment="1">
      <alignment horizontal="center" vertical="top" shrinkToFit="1"/>
    </xf>
    <xf numFmtId="0" fontId="25" fillId="0" borderId="7" xfId="288" applyBorder="1"/>
    <xf numFmtId="0" fontId="25" fillId="0" borderId="8" xfId="288" applyBorder="1"/>
    <xf numFmtId="0" fontId="25" fillId="0" borderId="15" xfId="288" applyBorder="1"/>
    <xf numFmtId="0" fontId="25" fillId="0" borderId="0" xfId="288" applyAlignment="1">
      <alignment horizontal="justify" vertical="top" wrapText="1"/>
    </xf>
    <xf numFmtId="0" fontId="25" fillId="0" borderId="7" xfId="288" applyBorder="1" applyAlignment="1">
      <alignment vertical="top"/>
    </xf>
    <xf numFmtId="0" fontId="25" fillId="0" borderId="8" xfId="288" applyBorder="1" applyAlignment="1">
      <alignment vertical="top"/>
    </xf>
    <xf numFmtId="0" fontId="25" fillId="0" borderId="15" xfId="288" applyBorder="1" applyAlignment="1">
      <alignment vertical="top"/>
    </xf>
    <xf numFmtId="0" fontId="25" fillId="0" borderId="0" xfId="288" applyAlignment="1">
      <alignment vertical="top"/>
    </xf>
    <xf numFmtId="14" fontId="25" fillId="0" borderId="0" xfId="288" applyNumberFormat="1" applyAlignment="1">
      <alignment vertical="top"/>
    </xf>
    <xf numFmtId="0" fontId="25" fillId="0" borderId="11" xfId="288" applyBorder="1" applyAlignment="1">
      <alignment vertical="top"/>
    </xf>
    <xf numFmtId="0" fontId="25" fillId="0" borderId="12" xfId="288" applyBorder="1" applyAlignment="1">
      <alignment vertical="top"/>
    </xf>
    <xf numFmtId="0" fontId="36" fillId="0" borderId="7" xfId="288" applyFont="1" applyBorder="1" applyAlignment="1">
      <alignment horizontal="left" vertical="top"/>
    </xf>
    <xf numFmtId="0" fontId="25" fillId="0" borderId="8" xfId="288" applyBorder="1" applyAlignment="1">
      <alignment horizontal="center" vertical="top" wrapText="1"/>
    </xf>
    <xf numFmtId="0" fontId="25" fillId="0" borderId="0" xfId="288" applyAlignment="1">
      <alignment horizontal="justify" vertical="top"/>
    </xf>
    <xf numFmtId="0" fontId="25" fillId="0" borderId="11" xfId="288" applyBorder="1" applyAlignment="1">
      <alignment horizontal="justify" vertical="top"/>
    </xf>
    <xf numFmtId="0" fontId="25" fillId="0" borderId="12" xfId="288" applyBorder="1" applyAlignment="1">
      <alignment horizontal="justify" vertical="top"/>
    </xf>
    <xf numFmtId="0" fontId="36" fillId="0" borderId="32" xfId="288" applyFont="1" applyBorder="1" applyAlignment="1">
      <alignment horizontal="left" vertical="top"/>
    </xf>
    <xf numFmtId="0" fontId="25" fillId="0" borderId="33" xfId="288" applyBorder="1" applyAlignment="1">
      <alignment horizontal="center" vertical="top" wrapText="1"/>
    </xf>
    <xf numFmtId="0" fontId="25" fillId="0" borderId="33" xfId="288" applyBorder="1" applyAlignment="1">
      <alignment horizontal="left" vertical="top"/>
    </xf>
    <xf numFmtId="0" fontId="25" fillId="0" borderId="33" xfId="288" applyBorder="1" applyAlignment="1">
      <alignment vertical="top"/>
    </xf>
    <xf numFmtId="0" fontId="25" fillId="0" borderId="15" xfId="288" applyBorder="1" applyAlignment="1">
      <alignment horizontal="justify" wrapText="1"/>
    </xf>
    <xf numFmtId="0" fontId="25" fillId="0" borderId="0" xfId="288" applyAlignment="1">
      <alignment horizontal="left"/>
    </xf>
    <xf numFmtId="0" fontId="25" fillId="0" borderId="0" xfId="288" applyAlignment="1">
      <alignment horizontal="justify" wrapText="1"/>
    </xf>
    <xf numFmtId="0" fontId="2" fillId="0" borderId="0" xfId="0" applyFont="1" applyAlignment="1">
      <alignment vertical="top" shrinkToFit="1"/>
    </xf>
    <xf numFmtId="0" fontId="25" fillId="0" borderId="8" xfId="288" applyBorder="1" applyAlignment="1">
      <alignment horizontal="center"/>
    </xf>
    <xf numFmtId="0" fontId="25" fillId="0" borderId="8" xfId="288" applyBorder="1" applyAlignment="1">
      <alignment horizontal="justify" vertical="top"/>
    </xf>
    <xf numFmtId="0" fontId="25" fillId="0" borderId="0" xfId="288" applyAlignment="1">
      <alignment horizontal="center"/>
    </xf>
    <xf numFmtId="0" fontId="25" fillId="0" borderId="13" xfId="288" applyBorder="1" applyAlignment="1">
      <alignment horizontal="justify" vertical="top"/>
    </xf>
    <xf numFmtId="0" fontId="25" fillId="0" borderId="9" xfId="288" applyBorder="1"/>
    <xf numFmtId="0" fontId="25" fillId="0" borderId="18" xfId="288" applyBorder="1"/>
    <xf numFmtId="0" fontId="25" fillId="0" borderId="0" xfId="288" applyAlignment="1">
      <alignment horizontal="left" wrapText="1"/>
    </xf>
    <xf numFmtId="0" fontId="25" fillId="0" borderId="18" xfId="288" applyBorder="1" applyAlignment="1">
      <alignment horizontal="left" wrapText="1"/>
    </xf>
    <xf numFmtId="0" fontId="25" fillId="0" borderId="18" xfId="288" applyBorder="1" applyAlignment="1">
      <alignment horizontal="justify" vertical="top" wrapText="1"/>
    </xf>
    <xf numFmtId="0" fontId="25" fillId="0" borderId="0" xfId="288" applyAlignment="1">
      <alignment horizontal="left" vertical="top" wrapText="1"/>
    </xf>
    <xf numFmtId="0" fontId="25" fillId="0" borderId="18" xfId="288" applyBorder="1" applyAlignment="1">
      <alignment horizontal="left" vertical="top" wrapText="1"/>
    </xf>
    <xf numFmtId="0" fontId="25" fillId="0" borderId="8" xfId="288" applyBorder="1" applyAlignment="1">
      <alignment horizontal="center" vertical="top"/>
    </xf>
    <xf numFmtId="0" fontId="25" fillId="0" borderId="9" xfId="288" applyBorder="1" applyAlignment="1">
      <alignment vertical="top"/>
    </xf>
    <xf numFmtId="0" fontId="25" fillId="0" borderId="0" xfId="288" applyAlignment="1">
      <alignment horizontal="center" vertical="top"/>
    </xf>
    <xf numFmtId="0" fontId="25" fillId="0" borderId="18" xfId="288" applyBorder="1" applyAlignment="1">
      <alignment vertical="top"/>
    </xf>
    <xf numFmtId="0" fontId="25" fillId="0" borderId="0" xfId="288" applyAlignment="1">
      <alignment horizontal="left" vertical="top"/>
    </xf>
    <xf numFmtId="0" fontId="25" fillId="0" borderId="13" xfId="288" applyBorder="1" applyAlignment="1">
      <alignment vertical="top"/>
    </xf>
    <xf numFmtId="0" fontId="19" fillId="0" borderId="0" xfId="288" applyFont="1"/>
    <xf numFmtId="0" fontId="25" fillId="0" borderId="8" xfId="288" applyBorder="1" applyAlignment="1">
      <alignment vertical="top" wrapText="1"/>
    </xf>
    <xf numFmtId="0" fontId="25" fillId="0" borderId="9" xfId="288" applyBorder="1" applyAlignment="1">
      <alignment vertical="top" wrapText="1"/>
    </xf>
    <xf numFmtId="0" fontId="25" fillId="0" borderId="18" xfId="288" applyBorder="1" applyAlignment="1">
      <alignment horizontal="justify" vertical="top"/>
    </xf>
    <xf numFmtId="0" fontId="25" fillId="0" borderId="33" xfId="288" applyBorder="1" applyAlignment="1">
      <alignment horizontal="center" vertical="top"/>
    </xf>
    <xf numFmtId="0" fontId="25" fillId="0" borderId="33" xfId="288" applyBorder="1" applyAlignment="1">
      <alignment vertical="top" wrapText="1"/>
    </xf>
    <xf numFmtId="0" fontId="25" fillId="0" borderId="34" xfId="288" applyBorder="1" applyAlignment="1">
      <alignment vertical="top" wrapText="1"/>
    </xf>
    <xf numFmtId="0" fontId="25" fillId="0" borderId="18" xfId="288" applyBorder="1" applyAlignment="1">
      <alignment horizontal="justify" wrapText="1"/>
    </xf>
    <xf numFmtId="0" fontId="25" fillId="0" borderId="11" xfId="288" applyBorder="1" applyAlignment="1">
      <alignment horizontal="justify" wrapText="1"/>
    </xf>
    <xf numFmtId="0" fontId="25" fillId="0" borderId="12" xfId="288" applyBorder="1" applyAlignment="1">
      <alignment horizontal="justify" wrapText="1"/>
    </xf>
    <xf numFmtId="0" fontId="25" fillId="0" borderId="0" xfId="288" applyAlignment="1">
      <alignment vertical="top" wrapText="1"/>
    </xf>
    <xf numFmtId="0" fontId="25" fillId="0" borderId="11" xfId="288" applyBorder="1" applyAlignment="1">
      <alignment vertical="top" wrapText="1"/>
    </xf>
    <xf numFmtId="0" fontId="25" fillId="0" borderId="12" xfId="288" applyBorder="1" applyAlignment="1">
      <alignment vertical="top" wrapText="1"/>
    </xf>
    <xf numFmtId="0" fontId="66" fillId="0" borderId="15" xfId="288" applyFont="1" applyBorder="1" applyAlignment="1">
      <alignment vertical="top"/>
    </xf>
    <xf numFmtId="0" fontId="25" fillId="0" borderId="7" xfId="288" applyBorder="1" applyAlignment="1">
      <alignment horizontal="center" vertical="top"/>
    </xf>
    <xf numFmtId="0" fontId="25" fillId="0" borderId="15" xfId="288" applyBorder="1" applyAlignment="1">
      <alignment horizontal="center" vertical="top"/>
    </xf>
    <xf numFmtId="0" fontId="25" fillId="0" borderId="13" xfId="288" applyBorder="1" applyAlignment="1">
      <alignment horizontal="justify" wrapText="1"/>
    </xf>
    <xf numFmtId="0" fontId="25" fillId="0" borderId="15" xfId="288" applyBorder="1" applyAlignment="1">
      <alignment horizontal="left" vertical="top"/>
    </xf>
    <xf numFmtId="0" fontId="25" fillId="0" borderId="18" xfId="288" applyBorder="1" applyAlignment="1">
      <alignment vertical="top" wrapText="1"/>
    </xf>
    <xf numFmtId="49" fontId="36" fillId="0" borderId="0" xfId="288" applyNumberFormat="1" applyFont="1" applyAlignment="1">
      <alignment vertical="top"/>
    </xf>
    <xf numFmtId="0" fontId="25" fillId="0" borderId="13" xfId="288" applyBorder="1" applyAlignment="1">
      <alignment vertical="top" wrapText="1"/>
    </xf>
    <xf numFmtId="0" fontId="25" fillId="0" borderId="0" xfId="288" applyAlignment="1">
      <alignment horizontal="right" vertical="top"/>
    </xf>
    <xf numFmtId="0" fontId="25" fillId="0" borderId="11" xfId="288" applyBorder="1" applyAlignment="1">
      <alignment horizontal="center" vertical="top"/>
    </xf>
    <xf numFmtId="0" fontId="25" fillId="0" borderId="8" xfId="288" applyBorder="1" applyAlignment="1">
      <alignment horizontal="right" vertical="top"/>
    </xf>
    <xf numFmtId="0" fontId="25" fillId="0" borderId="12" xfId="288" applyBorder="1" applyAlignment="1">
      <alignment horizontal="right" vertical="top"/>
    </xf>
    <xf numFmtId="0" fontId="25" fillId="0" borderId="11" xfId="288" applyBorder="1" applyAlignment="1">
      <alignment horizontal="right" vertical="top"/>
    </xf>
    <xf numFmtId="0" fontId="2" fillId="0" borderId="0" xfId="0" applyFont="1" applyAlignment="1">
      <alignment horizontal="left" vertical="top" wrapText="1"/>
    </xf>
    <xf numFmtId="0" fontId="13" fillId="0" borderId="30" xfId="0" applyFont="1" applyBorder="1" applyAlignment="1">
      <alignment horizontal="center" vertical="center"/>
    </xf>
    <xf numFmtId="0" fontId="13" fillId="0" borderId="30" xfId="0" applyFont="1" applyBorder="1" applyAlignment="1">
      <alignment horizontal="center" vertical="center" wrapText="1"/>
    </xf>
    <xf numFmtId="0" fontId="2" fillId="0" borderId="183" xfId="0" applyFont="1" applyBorder="1" applyAlignment="1">
      <alignment horizontal="justify" vertical="top"/>
    </xf>
    <xf numFmtId="0" fontId="2" fillId="0" borderId="183" xfId="0" applyFont="1" applyBorder="1" applyAlignment="1">
      <alignment horizontal="center" vertical="top"/>
    </xf>
    <xf numFmtId="0" fontId="13" fillId="0" borderId="37" xfId="0" applyFont="1" applyBorder="1" applyAlignment="1">
      <alignment vertical="top"/>
    </xf>
    <xf numFmtId="0" fontId="13" fillId="0" borderId="41" xfId="0" applyFont="1" applyBorder="1" applyAlignment="1">
      <alignment vertical="top"/>
    </xf>
    <xf numFmtId="0" fontId="13" fillId="0" borderId="46" xfId="0" applyFont="1" applyBorder="1" applyAlignment="1">
      <alignment vertical="top" wrapText="1"/>
    </xf>
    <xf numFmtId="0" fontId="13" fillId="0" borderId="42" xfId="0" applyFont="1" applyBorder="1" applyAlignment="1">
      <alignment vertical="top" wrapText="1"/>
    </xf>
    <xf numFmtId="0" fontId="13" fillId="0" borderId="37" xfId="0" applyFont="1" applyBorder="1" applyAlignment="1">
      <alignment horizontal="center" vertical="top"/>
    </xf>
    <xf numFmtId="3" fontId="13" fillId="0" borderId="37" xfId="0" applyNumberFormat="1" applyFont="1" applyBorder="1" applyAlignment="1">
      <alignment horizontal="right" vertical="top"/>
    </xf>
    <xf numFmtId="3" fontId="13" fillId="0" borderId="37" xfId="0" applyNumberFormat="1" applyFont="1" applyBorder="1" applyAlignment="1">
      <alignment vertical="top"/>
    </xf>
    <xf numFmtId="0" fontId="2" fillId="0" borderId="37" xfId="0" applyFont="1" applyBorder="1" applyAlignment="1">
      <alignment vertical="top"/>
    </xf>
    <xf numFmtId="0" fontId="2" fillId="0" borderId="41" xfId="0" applyFont="1" applyBorder="1" applyAlignment="1">
      <alignment vertical="top"/>
    </xf>
    <xf numFmtId="0" fontId="2" fillId="0" borderId="46" xfId="0" applyFont="1" applyBorder="1" applyAlignment="1">
      <alignment vertical="top" wrapText="1"/>
    </xf>
    <xf numFmtId="0" fontId="2" fillId="0" borderId="37" xfId="0" applyFont="1" applyBorder="1" applyAlignment="1">
      <alignment horizontal="center" vertical="top"/>
    </xf>
    <xf numFmtId="3" fontId="2" fillId="0" borderId="37" xfId="0" applyNumberFormat="1" applyFont="1" applyBorder="1" applyAlignment="1">
      <alignment horizontal="right" vertical="top"/>
    </xf>
    <xf numFmtId="173" fontId="2" fillId="0" borderId="179" xfId="113" applyFont="1" applyFill="1" applyBorder="1" applyAlignment="1">
      <alignment horizontal="right" vertical="top"/>
    </xf>
    <xf numFmtId="0" fontId="2" fillId="0" borderId="42" xfId="0" applyFont="1" applyBorder="1" applyAlignment="1">
      <alignment vertical="top" wrapText="1"/>
    </xf>
    <xf numFmtId="0" fontId="2" fillId="0" borderId="184" xfId="0" applyFont="1" applyBorder="1" applyAlignment="1">
      <alignment horizontal="center" vertical="top"/>
    </xf>
    <xf numFmtId="0" fontId="2" fillId="0" borderId="184" xfId="0" applyFont="1" applyBorder="1" applyAlignment="1">
      <alignment horizontal="right" vertical="top"/>
    </xf>
    <xf numFmtId="173" fontId="2" fillId="0" borderId="0" xfId="113" applyFont="1" applyFill="1" applyBorder="1" applyAlignment="1">
      <alignment horizontal="right" vertical="top"/>
    </xf>
    <xf numFmtId="4" fontId="2" fillId="0" borderId="184" xfId="0" applyNumberFormat="1" applyFont="1" applyBorder="1" applyAlignment="1">
      <alignment horizontal="right" vertical="top"/>
    </xf>
    <xf numFmtId="0" fontId="2" fillId="0" borderId="179" xfId="0" applyFont="1" applyBorder="1" applyAlignment="1">
      <alignment horizontal="center" vertical="top"/>
    </xf>
    <xf numFmtId="4" fontId="2" fillId="0" borderId="185" xfId="0" applyNumberFormat="1" applyFont="1" applyBorder="1" applyAlignment="1">
      <alignment horizontal="right" vertical="top"/>
    </xf>
    <xf numFmtId="4" fontId="2" fillId="0" borderId="37" xfId="0" applyNumberFormat="1" applyFont="1" applyBorder="1" applyAlignment="1">
      <alignment horizontal="right" vertical="top"/>
    </xf>
    <xf numFmtId="3" fontId="2" fillId="0" borderId="37" xfId="0" applyNumberFormat="1" applyFont="1" applyBorder="1" applyAlignment="1">
      <alignment vertical="top"/>
    </xf>
    <xf numFmtId="271" fontId="2" fillId="0" borderId="184" xfId="0" applyNumberFormat="1" applyFont="1" applyBorder="1" applyAlignment="1">
      <alignment horizontal="right" vertical="top"/>
    </xf>
    <xf numFmtId="271" fontId="2" fillId="0" borderId="37" xfId="0" applyNumberFormat="1" applyFont="1" applyBorder="1" applyAlignment="1">
      <alignment horizontal="right" vertical="top"/>
    </xf>
    <xf numFmtId="0" fontId="37" fillId="0" borderId="186" xfId="306" applyFont="1" applyBorder="1" applyAlignment="1">
      <alignment horizontal="left" vertical="top"/>
    </xf>
    <xf numFmtId="0" fontId="38" fillId="0" borderId="187" xfId="306" applyFont="1" applyBorder="1" applyAlignment="1">
      <alignment horizontal="left" vertical="top"/>
    </xf>
    <xf numFmtId="0" fontId="2" fillId="0" borderId="41" xfId="0" applyFont="1" applyBorder="1" applyAlignment="1">
      <alignment horizontal="left" vertical="top"/>
    </xf>
    <xf numFmtId="0" fontId="2" fillId="0" borderId="46" xfId="0" applyFont="1" applyBorder="1" applyAlignment="1">
      <alignment horizontal="left" vertical="top"/>
    </xf>
    <xf numFmtId="0" fontId="2" fillId="0" borderId="42" xfId="0" applyFont="1" applyBorder="1" applyAlignment="1">
      <alignment horizontal="left" vertical="top"/>
    </xf>
    <xf numFmtId="0" fontId="13" fillId="0" borderId="41" xfId="0" applyFont="1" applyBorder="1" applyAlignment="1">
      <alignment horizontal="center" vertical="top"/>
    </xf>
    <xf numFmtId="0" fontId="13" fillId="0" borderId="46" xfId="0" applyFont="1" applyBorder="1" applyAlignment="1">
      <alignment horizontal="center" vertical="top"/>
    </xf>
    <xf numFmtId="0" fontId="13" fillId="0" borderId="42" xfId="0" applyFont="1" applyBorder="1" applyAlignment="1">
      <alignment horizontal="center" vertical="top"/>
    </xf>
    <xf numFmtId="0" fontId="2" fillId="0" borderId="46" xfId="0" applyFont="1" applyBorder="1" applyAlignment="1">
      <alignment vertical="top"/>
    </xf>
    <xf numFmtId="0" fontId="2" fillId="0" borderId="42" xfId="0" applyFont="1" applyBorder="1" applyAlignment="1">
      <alignment vertical="top"/>
    </xf>
    <xf numFmtId="3" fontId="13" fillId="0" borderId="36" xfId="0" applyNumberFormat="1" applyFont="1" applyBorder="1" applyAlignment="1">
      <alignment horizontal="right" vertical="top"/>
    </xf>
    <xf numFmtId="0" fontId="2" fillId="0" borderId="43" xfId="0" applyFont="1" applyBorder="1" applyAlignment="1">
      <alignment vertical="top"/>
    </xf>
    <xf numFmtId="257" fontId="13" fillId="0" borderId="36" xfId="2" applyNumberFormat="1" applyFont="1" applyBorder="1" applyAlignment="1">
      <alignment horizontal="right" vertical="top"/>
    </xf>
    <xf numFmtId="0" fontId="2" fillId="0" borderId="30" xfId="0" applyFont="1" applyBorder="1" applyAlignment="1">
      <alignment vertical="top"/>
    </xf>
    <xf numFmtId="3" fontId="2" fillId="0" borderId="43" xfId="0" applyNumberFormat="1" applyFont="1" applyBorder="1" applyAlignment="1">
      <alignment vertical="top"/>
    </xf>
    <xf numFmtId="270" fontId="2" fillId="0" borderId="0" xfId="1" applyNumberFormat="1" applyFont="1" applyAlignment="1">
      <alignment horizontal="justify" vertical="top"/>
    </xf>
    <xf numFmtId="271" fontId="2" fillId="0" borderId="183" xfId="0" applyNumberFormat="1" applyFont="1" applyBorder="1" applyAlignment="1">
      <alignment horizontal="justify" vertical="top"/>
    </xf>
    <xf numFmtId="271" fontId="13" fillId="0" borderId="37" xfId="0" applyNumberFormat="1" applyFont="1" applyBorder="1" applyAlignment="1">
      <alignment horizontal="right" vertical="top"/>
    </xf>
    <xf numFmtId="0" fontId="2" fillId="0" borderId="41" xfId="0" applyFont="1" applyBorder="1" applyAlignment="1">
      <alignment vertical="top" wrapText="1"/>
    </xf>
    <xf numFmtId="0" fontId="2" fillId="0" borderId="25" xfId="0" applyFont="1" applyBorder="1" applyAlignment="1">
      <alignment horizontal="right" vertical="top"/>
    </xf>
    <xf numFmtId="271" fontId="2" fillId="0" borderId="25" xfId="0" applyNumberFormat="1" applyFont="1" applyBorder="1" applyAlignment="1">
      <alignment horizontal="right" vertical="top"/>
    </xf>
    <xf numFmtId="0" fontId="2" fillId="0" borderId="43" xfId="0" applyFont="1" applyBorder="1" applyAlignment="1">
      <alignment horizontal="center" vertical="top"/>
    </xf>
    <xf numFmtId="3" fontId="2" fillId="0" borderId="43" xfId="0" applyNumberFormat="1" applyFont="1" applyBorder="1" applyAlignment="1">
      <alignment horizontal="right" vertical="top"/>
    </xf>
    <xf numFmtId="271" fontId="2" fillId="0" borderId="43" xfId="0" applyNumberFormat="1" applyFont="1" applyBorder="1" applyAlignment="1">
      <alignment horizontal="right" vertical="top"/>
    </xf>
    <xf numFmtId="0" fontId="2" fillId="0" borderId="8" xfId="0" applyFont="1" applyBorder="1" applyAlignment="1">
      <alignment vertical="top"/>
    </xf>
    <xf numFmtId="252" fontId="2" fillId="0" borderId="8" xfId="0" applyNumberFormat="1" applyFont="1" applyBorder="1" applyAlignment="1">
      <alignment vertical="top"/>
    </xf>
    <xf numFmtId="271" fontId="13" fillId="0" borderId="37" xfId="0" applyNumberFormat="1" applyFont="1" applyBorder="1" applyAlignment="1">
      <alignment vertical="top"/>
    </xf>
    <xf numFmtId="271" fontId="2" fillId="0" borderId="37" xfId="0" applyNumberFormat="1" applyFont="1" applyBorder="1" applyAlignment="1">
      <alignment vertical="top"/>
    </xf>
    <xf numFmtId="271" fontId="2" fillId="0" borderId="184" xfId="113" applyNumberFormat="1" applyFont="1" applyFill="1" applyBorder="1" applyAlignment="1">
      <alignment horizontal="right" vertical="top"/>
    </xf>
    <xf numFmtId="271" fontId="2" fillId="0" borderId="25" xfId="0" applyNumberFormat="1" applyFont="1" applyBorder="1" applyAlignment="1">
      <alignment vertical="top"/>
    </xf>
    <xf numFmtId="271" fontId="2" fillId="0" borderId="25" xfId="113" applyNumberFormat="1" applyFont="1" applyFill="1" applyBorder="1" applyAlignment="1">
      <alignment horizontal="right" vertical="top"/>
    </xf>
    <xf numFmtId="271" fontId="2" fillId="0" borderId="43" xfId="0" applyNumberFormat="1" applyFont="1" applyBorder="1" applyAlignment="1">
      <alignment vertical="top"/>
    </xf>
    <xf numFmtId="0" fontId="25" fillId="0" borderId="155" xfId="289" applyBorder="1" applyAlignment="1">
      <alignment vertical="top"/>
    </xf>
    <xf numFmtId="0" fontId="25" fillId="0" borderId="158" xfId="289" applyBorder="1" applyAlignment="1">
      <alignment vertical="top"/>
    </xf>
    <xf numFmtId="0" fontId="25" fillId="0" borderId="168" xfId="289" applyBorder="1" applyAlignment="1">
      <alignment vertical="top"/>
    </xf>
    <xf numFmtId="0" fontId="25" fillId="0" borderId="168" xfId="289" applyBorder="1" applyAlignment="1">
      <alignment horizontal="left" vertical="top"/>
    </xf>
    <xf numFmtId="0" fontId="25" fillId="0" borderId="161" xfId="289" applyBorder="1" applyAlignment="1">
      <alignment vertical="top"/>
    </xf>
    <xf numFmtId="0" fontId="25" fillId="0" borderId="188" xfId="289" applyBorder="1" applyAlignment="1">
      <alignment vertical="top"/>
    </xf>
    <xf numFmtId="0" fontId="25" fillId="0" borderId="189" xfId="289" applyBorder="1" applyAlignment="1">
      <alignment vertical="top"/>
    </xf>
    <xf numFmtId="259" fontId="25" fillId="0" borderId="189" xfId="289" applyNumberFormat="1" applyBorder="1" applyAlignment="1">
      <alignment horizontal="left" vertical="top"/>
    </xf>
    <xf numFmtId="0" fontId="25" fillId="0" borderId="190" xfId="289" applyBorder="1" applyAlignment="1">
      <alignment horizontal="center" vertical="top"/>
    </xf>
    <xf numFmtId="0" fontId="25" fillId="0" borderId="191" xfId="289" applyBorder="1" applyAlignment="1">
      <alignment horizontal="center" vertical="top"/>
    </xf>
    <xf numFmtId="0" fontId="25" fillId="0" borderId="159" xfId="289" applyBorder="1" applyAlignment="1">
      <alignment horizontal="center" vertical="top"/>
    </xf>
    <xf numFmtId="0" fontId="25" fillId="0" borderId="159" xfId="289" applyBorder="1" applyAlignment="1">
      <alignment vertical="top"/>
    </xf>
    <xf numFmtId="0" fontId="25" fillId="0" borderId="160" xfId="289" applyBorder="1" applyAlignment="1">
      <alignment vertical="top"/>
    </xf>
    <xf numFmtId="0" fontId="25" fillId="0" borderId="169" xfId="289" applyBorder="1" applyAlignment="1">
      <alignment vertical="top"/>
    </xf>
    <xf numFmtId="0" fontId="25" fillId="0" borderId="167" xfId="289" applyBorder="1" applyAlignment="1">
      <alignment horizontal="center" vertical="top"/>
    </xf>
    <xf numFmtId="0" fontId="25" fillId="0" borderId="167" xfId="289" applyBorder="1" applyAlignment="1">
      <alignment vertical="top"/>
    </xf>
    <xf numFmtId="0" fontId="25" fillId="0" borderId="173" xfId="289" applyBorder="1" applyAlignment="1">
      <alignment vertical="top"/>
    </xf>
    <xf numFmtId="49" fontId="25" fillId="0" borderId="189" xfId="289" applyNumberFormat="1" applyBorder="1" applyAlignment="1">
      <alignment vertical="top"/>
    </xf>
    <xf numFmtId="0" fontId="25" fillId="0" borderId="193" xfId="289" applyBorder="1" applyAlignment="1">
      <alignment horizontal="center" vertical="top"/>
    </xf>
    <xf numFmtId="0" fontId="25" fillId="0" borderId="193" xfId="289" applyBorder="1" applyAlignment="1">
      <alignment vertical="top"/>
    </xf>
    <xf numFmtId="0" fontId="25" fillId="0" borderId="194" xfId="289" applyBorder="1" applyAlignment="1">
      <alignment vertical="top"/>
    </xf>
    <xf numFmtId="0" fontId="25" fillId="0" borderId="195" xfId="289" applyBorder="1" applyAlignment="1">
      <alignment vertical="top"/>
    </xf>
    <xf numFmtId="0" fontId="22" fillId="0" borderId="35" xfId="0" applyFont="1" applyBorder="1" applyAlignment="1">
      <alignment horizontal="center" vertical="top"/>
    </xf>
    <xf numFmtId="0" fontId="21" fillId="0" borderId="0" xfId="4" applyAlignment="1">
      <alignment horizontal="left" wrapText="1"/>
    </xf>
    <xf numFmtId="0" fontId="69" fillId="0" borderId="0" xfId="0" applyFont="1"/>
    <xf numFmtId="0" fontId="23" fillId="0" borderId="0" xfId="0" applyFont="1"/>
    <xf numFmtId="0" fontId="70" fillId="13" borderId="0" xfId="0" applyFont="1" applyFill="1" applyAlignment="1">
      <alignment horizontal="left" vertical="top"/>
    </xf>
    <xf numFmtId="0" fontId="71" fillId="13" borderId="0" xfId="0" applyFont="1" applyFill="1" applyAlignment="1">
      <alignment horizontal="center" vertical="top"/>
    </xf>
    <xf numFmtId="0" fontId="4" fillId="13" borderId="0" xfId="0" applyFont="1" applyFill="1" applyAlignment="1">
      <alignment horizontal="center" vertical="top"/>
    </xf>
    <xf numFmtId="0" fontId="46" fillId="13" borderId="0" xfId="0" applyFont="1" applyFill="1" applyAlignment="1">
      <alignment horizontal="right" vertical="top"/>
    </xf>
    <xf numFmtId="0" fontId="36" fillId="0" borderId="0" xfId="0" applyFont="1"/>
    <xf numFmtId="0" fontId="36" fillId="0" borderId="0" xfId="0" applyFont="1" applyAlignment="1">
      <alignment vertical="top"/>
    </xf>
    <xf numFmtId="0" fontId="72" fillId="0" borderId="0" xfId="0" applyFont="1"/>
    <xf numFmtId="256" fontId="2" fillId="2" borderId="0" xfId="0" applyNumberFormat="1" applyFont="1" applyFill="1" applyAlignment="1">
      <alignment horizontal="left"/>
    </xf>
    <xf numFmtId="259" fontId="2" fillId="2" borderId="0" xfId="0" applyNumberFormat="1" applyFont="1" applyFill="1" applyAlignment="1">
      <alignment horizontal="left"/>
    </xf>
    <xf numFmtId="272" fontId="38" fillId="2" borderId="0" xfId="0" applyNumberFormat="1" applyFont="1" applyFill="1"/>
    <xf numFmtId="260" fontId="2" fillId="2" borderId="0" xfId="0" applyNumberFormat="1" applyFont="1" applyFill="1" applyAlignment="1">
      <alignment horizontal="left"/>
    </xf>
    <xf numFmtId="272" fontId="38" fillId="0" borderId="0" xfId="0" applyNumberFormat="1" applyFont="1"/>
    <xf numFmtId="0" fontId="2" fillId="2" borderId="7" xfId="0" applyFont="1" applyFill="1" applyBorder="1" applyAlignment="1">
      <alignment horizontal="center"/>
    </xf>
    <xf numFmtId="0" fontId="2" fillId="2" borderId="9" xfId="0" applyFont="1" applyFill="1" applyBorder="1"/>
    <xf numFmtId="260" fontId="2" fillId="0" borderId="0" xfId="0" applyNumberFormat="1" applyFont="1" applyAlignment="1">
      <alignment horizontal="right"/>
    </xf>
    <xf numFmtId="0" fontId="2" fillId="2" borderId="15" xfId="0" applyFont="1" applyFill="1" applyBorder="1" applyAlignment="1">
      <alignment horizontal="center"/>
    </xf>
    <xf numFmtId="0" fontId="2" fillId="2" borderId="18" xfId="0" applyFont="1" applyFill="1" applyBorder="1"/>
    <xf numFmtId="0" fontId="2" fillId="2" borderId="11" xfId="0" applyFont="1" applyFill="1" applyBorder="1" applyAlignment="1">
      <alignment horizontal="center"/>
    </xf>
    <xf numFmtId="0" fontId="2" fillId="2" borderId="13" xfId="0" applyFont="1" applyFill="1" applyBorder="1"/>
    <xf numFmtId="0" fontId="25" fillId="0" borderId="0" xfId="0" applyFont="1" applyAlignment="1">
      <alignment horizontal="right"/>
    </xf>
    <xf numFmtId="0" fontId="2" fillId="2" borderId="0" xfId="0" applyFont="1" applyFill="1"/>
    <xf numFmtId="260" fontId="2" fillId="2" borderId="0" xfId="0" applyNumberFormat="1" applyFont="1" applyFill="1" applyAlignment="1">
      <alignment horizontal="right"/>
    </xf>
    <xf numFmtId="0" fontId="73" fillId="0" borderId="0" xfId="0" applyFont="1"/>
    <xf numFmtId="0" fontId="73" fillId="0" borderId="0" xfId="0" applyFont="1" applyAlignment="1">
      <alignment horizontal="center"/>
    </xf>
    <xf numFmtId="260" fontId="73" fillId="0" borderId="0" xfId="0" applyNumberFormat="1" applyFont="1" applyAlignment="1">
      <alignment horizontal="right"/>
    </xf>
    <xf numFmtId="0" fontId="73" fillId="0" borderId="0" xfId="0" applyFont="1" applyAlignment="1">
      <alignment horizontal="right"/>
    </xf>
    <xf numFmtId="260" fontId="73" fillId="0" borderId="0" xfId="0" applyNumberFormat="1" applyFont="1" applyAlignment="1">
      <alignment horizontal="left"/>
    </xf>
    <xf numFmtId="0" fontId="25" fillId="0" borderId="33" xfId="0" applyFont="1" applyBorder="1"/>
    <xf numFmtId="0" fontId="36" fillId="0" borderId="33" xfId="0" applyFont="1" applyBorder="1"/>
    <xf numFmtId="258" fontId="37" fillId="0" borderId="33" xfId="0" applyNumberFormat="1" applyFont="1" applyBorder="1" applyAlignment="1">
      <alignment horizontal="center"/>
    </xf>
    <xf numFmtId="260" fontId="2" fillId="0" borderId="33" xfId="0" applyNumberFormat="1" applyFont="1" applyBorder="1" applyAlignment="1">
      <alignment horizontal="left"/>
    </xf>
    <xf numFmtId="272" fontId="38" fillId="0" borderId="33" xfId="0" applyNumberFormat="1" applyFont="1" applyBorder="1"/>
    <xf numFmtId="0" fontId="2" fillId="14" borderId="0" xfId="0" applyFont="1" applyFill="1"/>
    <xf numFmtId="260" fontId="13" fillId="0" borderId="149" xfId="0" applyNumberFormat="1" applyFont="1" applyBorder="1" applyAlignment="1">
      <alignment horizontal="center"/>
    </xf>
    <xf numFmtId="266" fontId="2" fillId="0" borderId="0" xfId="0" applyNumberFormat="1" applyFont="1" applyAlignment="1">
      <alignment horizontal="left"/>
    </xf>
    <xf numFmtId="0" fontId="74" fillId="0" borderId="0" xfId="0" applyFont="1"/>
    <xf numFmtId="0" fontId="75" fillId="0" borderId="0" xfId="0" applyFont="1"/>
    <xf numFmtId="0" fontId="35" fillId="0" borderId="0" xfId="4" applyFont="1" applyAlignment="1"/>
    <xf numFmtId="0" fontId="76" fillId="13" borderId="0" xfId="0" applyFont="1" applyFill="1" applyAlignment="1">
      <alignment horizontal="left" vertical="top"/>
    </xf>
    <xf numFmtId="260" fontId="13" fillId="0" borderId="0" xfId="0" applyNumberFormat="1" applyFont="1" applyAlignment="1">
      <alignment horizontal="left"/>
    </xf>
    <xf numFmtId="0" fontId="77" fillId="0" borderId="0" xfId="0" applyFont="1"/>
    <xf numFmtId="0" fontId="78" fillId="0" borderId="0" xfId="0" applyFont="1"/>
    <xf numFmtId="258" fontId="77" fillId="0" borderId="0" xfId="0" applyNumberFormat="1" applyFont="1" applyAlignment="1">
      <alignment horizontal="center"/>
    </xf>
    <xf numFmtId="260" fontId="77" fillId="0" borderId="0" xfId="0" applyNumberFormat="1" applyFont="1" applyAlignment="1">
      <alignment horizontal="left"/>
    </xf>
    <xf numFmtId="258" fontId="2" fillId="0" borderId="0" xfId="0" applyNumberFormat="1" applyFont="1" applyAlignment="1">
      <alignment horizontal="center"/>
    </xf>
    <xf numFmtId="0" fontId="44" fillId="15" borderId="35" xfId="0" applyFont="1" applyFill="1" applyBorder="1" applyAlignment="1">
      <alignment horizontal="center" vertical="center"/>
    </xf>
    <xf numFmtId="0" fontId="0" fillId="0" borderId="7" xfId="0" applyBorder="1"/>
    <xf numFmtId="0" fontId="30" fillId="0" borderId="8" xfId="4" applyFont="1" applyBorder="1"/>
    <xf numFmtId="0" fontId="0" fillId="0" borderId="8" xfId="0" applyBorder="1" applyAlignment="1">
      <alignment vertical="top"/>
    </xf>
    <xf numFmtId="0" fontId="0" fillId="0" borderId="151" xfId="0" applyBorder="1" applyAlignment="1">
      <alignment vertical="center"/>
    </xf>
    <xf numFmtId="0" fontId="0" fillId="0" borderId="150" xfId="0" applyBorder="1" applyAlignment="1">
      <alignment horizontal="center"/>
    </xf>
    <xf numFmtId="273" fontId="0" fillId="14" borderId="151" xfId="0" applyNumberFormat="1" applyFill="1" applyBorder="1" applyAlignment="1">
      <alignment horizontal="right" vertical="top"/>
    </xf>
    <xf numFmtId="49" fontId="0" fillId="0" borderId="150" xfId="0" applyNumberFormat="1" applyBorder="1" applyAlignment="1">
      <alignment horizontal="center"/>
    </xf>
    <xf numFmtId="0" fontId="0" fillId="0" borderId="15" xfId="0" applyBorder="1"/>
    <xf numFmtId="0" fontId="21" fillId="0" borderId="0" xfId="4" applyBorder="1"/>
    <xf numFmtId="0" fontId="0" fillId="0" borderId="0" xfId="0" applyAlignment="1">
      <alignment vertical="top"/>
    </xf>
    <xf numFmtId="0" fontId="0" fillId="0" borderId="151" xfId="0" applyBorder="1" applyAlignment="1">
      <alignment horizontal="center"/>
    </xf>
    <xf numFmtId="49" fontId="0" fillId="0" borderId="151" xfId="0" applyNumberFormat="1" applyBorder="1" applyAlignment="1">
      <alignment horizontal="center"/>
    </xf>
    <xf numFmtId="0" fontId="21" fillId="0" borderId="0" xfId="4" applyFill="1" applyBorder="1"/>
    <xf numFmtId="260" fontId="0" fillId="0" borderId="15" xfId="0" applyNumberFormat="1" applyBorder="1"/>
    <xf numFmtId="49" fontId="0" fillId="0" borderId="15" xfId="0" applyNumberFormat="1" applyBorder="1" applyAlignment="1">
      <alignment horizontal="center" vertical="top"/>
    </xf>
    <xf numFmtId="0" fontId="0" fillId="0" borderId="15" xfId="0" applyBorder="1" applyAlignment="1">
      <alignment horizontal="center" vertical="top"/>
    </xf>
    <xf numFmtId="0" fontId="79" fillId="0" borderId="151" xfId="0" applyFont="1" applyBorder="1" applyAlignment="1">
      <alignment vertical="center"/>
    </xf>
    <xf numFmtId="0" fontId="21" fillId="0" borderId="0" xfId="4"/>
    <xf numFmtId="273" fontId="0" fillId="0" borderId="151" xfId="0" applyNumberFormat="1" applyBorder="1" applyAlignment="1">
      <alignment horizontal="right"/>
    </xf>
    <xf numFmtId="0" fontId="21" fillId="6" borderId="0" xfId="4" applyFill="1" applyBorder="1"/>
    <xf numFmtId="0" fontId="21" fillId="6" borderId="0" xfId="4" applyFill="1" applyAlignment="1">
      <alignment horizontal="right"/>
    </xf>
    <xf numFmtId="0" fontId="79" fillId="6" borderId="0" xfId="0" applyFont="1" applyFill="1"/>
    <xf numFmtId="273" fontId="0" fillId="14" borderId="151" xfId="0" applyNumberFormat="1" applyFill="1" applyBorder="1" applyAlignment="1">
      <alignment horizontal="right"/>
    </xf>
    <xf numFmtId="0" fontId="0" fillId="6" borderId="0" xfId="0" applyFill="1"/>
    <xf numFmtId="0" fontId="0" fillId="0" borderId="0" xfId="0" applyAlignment="1">
      <alignment horizontal="right"/>
    </xf>
    <xf numFmtId="0" fontId="80" fillId="0" borderId="151" xfId="0" applyFont="1" applyBorder="1" applyAlignment="1">
      <alignment vertical="center"/>
    </xf>
    <xf numFmtId="0" fontId="21" fillId="0" borderId="0" xfId="4" applyBorder="1" applyAlignment="1">
      <alignment horizontal="left"/>
    </xf>
    <xf numFmtId="0" fontId="21" fillId="0" borderId="0" xfId="4" applyFill="1" applyBorder="1" applyAlignment="1">
      <alignment horizontal="left"/>
    </xf>
    <xf numFmtId="0" fontId="81" fillId="3" borderId="0" xfId="0" applyFont="1" applyFill="1" applyAlignment="1">
      <alignment horizontal="left" vertical="top"/>
    </xf>
    <xf numFmtId="0" fontId="4" fillId="3" borderId="0" xfId="0" applyFont="1" applyFill="1" applyAlignment="1">
      <alignment horizontal="center" vertical="top"/>
    </xf>
    <xf numFmtId="0" fontId="0" fillId="0" borderId="0" xfId="0" applyAlignment="1">
      <alignment horizontal="center"/>
    </xf>
    <xf numFmtId="0" fontId="0" fillId="0" borderId="0" xfId="0" applyAlignment="1">
      <alignment horizontal="left"/>
    </xf>
    <xf numFmtId="0" fontId="0" fillId="2" borderId="0" xfId="0" applyFill="1"/>
    <xf numFmtId="3" fontId="0" fillId="0" borderId="0" xfId="0" applyNumberFormat="1"/>
    <xf numFmtId="0" fontId="2" fillId="2" borderId="0" xfId="0" applyFont="1" applyFill="1" applyAlignment="1">
      <alignment horizontal="left"/>
    </xf>
    <xf numFmtId="49" fontId="72" fillId="0" borderId="0" xfId="0" applyNumberFormat="1" applyFont="1" applyAlignment="1">
      <alignment horizontal="left"/>
    </xf>
    <xf numFmtId="0" fontId="2" fillId="14" borderId="0" xfId="3" applyNumberFormat="1" applyFont="1" applyFill="1" applyAlignment="1">
      <alignment horizontal="left"/>
    </xf>
    <xf numFmtId="0" fontId="2" fillId="0" borderId="0" xfId="3" applyNumberFormat="1" applyFont="1" applyFill="1" applyAlignment="1">
      <alignment horizontal="left"/>
    </xf>
    <xf numFmtId="0" fontId="82" fillId="0" borderId="0" xfId="0" applyFont="1"/>
    <xf numFmtId="0" fontId="83" fillId="0" borderId="0" xfId="0" applyFont="1"/>
    <xf numFmtId="0" fontId="83" fillId="0" borderId="0" xfId="0" applyFont="1" applyAlignment="1">
      <alignment horizontal="center"/>
    </xf>
    <xf numFmtId="0" fontId="79" fillId="0" borderId="0" xfId="0" applyFont="1"/>
    <xf numFmtId="0" fontId="79" fillId="0" borderId="0" xfId="0" applyFont="1" applyAlignment="1">
      <alignment horizontal="center"/>
    </xf>
    <xf numFmtId="0" fontId="13" fillId="0" borderId="0" xfId="0" quotePrefix="1" applyFont="1" applyAlignment="1">
      <alignment horizontal="center"/>
    </xf>
    <xf numFmtId="0" fontId="2" fillId="0" borderId="0" xfId="0" quotePrefix="1" applyFont="1" applyAlignment="1">
      <alignment horizontal="center"/>
    </xf>
    <xf numFmtId="0" fontId="2" fillId="0" borderId="0" xfId="0" quotePrefix="1" applyFont="1"/>
    <xf numFmtId="0" fontId="0" fillId="0" borderId="0" xfId="0" quotePrefix="1"/>
    <xf numFmtId="49" fontId="0" fillId="14" borderId="151" xfId="0" quotePrefix="1" applyNumberFormat="1" applyFill="1" applyBorder="1" applyAlignment="1">
      <alignment horizontal="center"/>
    </xf>
    <xf numFmtId="49" fontId="0" fillId="0" borderId="0" xfId="0" quotePrefix="1" applyNumberFormat="1"/>
    <xf numFmtId="0" fontId="83" fillId="0" borderId="0" xfId="0" quotePrefix="1" applyFont="1"/>
    <xf numFmtId="0" fontId="79" fillId="0" borderId="0" xfId="0" quotePrefix="1" applyFont="1"/>
    <xf numFmtId="0" fontId="2" fillId="0" borderId="0" xfId="0" quotePrefix="1" applyFont="1" applyAlignment="1">
      <alignment vertical="top"/>
    </xf>
    <xf numFmtId="0" fontId="25" fillId="0" borderId="0" xfId="289" quotePrefix="1" applyAlignment="1">
      <alignment horizontal="center" vertical="top"/>
    </xf>
    <xf numFmtId="0" fontId="25" fillId="0" borderId="15" xfId="288" quotePrefix="1" applyBorder="1" applyAlignment="1">
      <alignment horizontal="center" vertical="top"/>
    </xf>
    <xf numFmtId="0" fontId="25" fillId="0" borderId="15" xfId="288" quotePrefix="1" applyBorder="1" applyAlignment="1">
      <alignment vertical="top"/>
    </xf>
    <xf numFmtId="0" fontId="25" fillId="0" borderId="7" xfId="288" quotePrefix="1" applyBorder="1" applyAlignment="1">
      <alignment horizontal="center" vertical="top"/>
    </xf>
    <xf numFmtId="0" fontId="25" fillId="0" borderId="0" xfId="290" quotePrefix="1" applyAlignment="1">
      <alignment horizontal="left"/>
    </xf>
    <xf numFmtId="0" fontId="25" fillId="0" borderId="0" xfId="290" quotePrefix="1" applyAlignment="1">
      <alignment vertical="top"/>
    </xf>
    <xf numFmtId="0" fontId="36" fillId="0" borderId="35" xfId="290" quotePrefix="1" applyFont="1" applyBorder="1" applyAlignment="1">
      <alignment horizontal="center" vertical="top"/>
    </xf>
    <xf numFmtId="0" fontId="51" fillId="0" borderId="0" xfId="290" quotePrefix="1" applyFont="1" applyAlignment="1">
      <alignment horizontal="left"/>
    </xf>
    <xf numFmtId="0" fontId="51" fillId="0" borderId="0" xfId="290" quotePrefix="1" applyFont="1"/>
    <xf numFmtId="0" fontId="51" fillId="0" borderId="0" xfId="290" quotePrefix="1" applyFont="1" applyAlignment="1">
      <alignment horizontal="left" vertical="center"/>
    </xf>
    <xf numFmtId="15" fontId="51" fillId="0" borderId="0" xfId="290" quotePrefix="1" applyNumberFormat="1" applyFont="1" applyAlignment="1">
      <alignment horizontal="left" vertical="center"/>
    </xf>
    <xf numFmtId="0" fontId="51" fillId="0" borderId="0" xfId="290" quotePrefix="1" applyFont="1" applyAlignment="1">
      <alignment horizontal="center" vertical="top"/>
    </xf>
    <xf numFmtId="0" fontId="54" fillId="0" borderId="0" xfId="290" quotePrefix="1" applyFont="1" applyAlignment="1">
      <alignment horizontal="center" vertical="top" wrapText="1"/>
    </xf>
    <xf numFmtId="0" fontId="25" fillId="0" borderId="0" xfId="289" quotePrefix="1" applyAlignment="1">
      <alignment vertical="top"/>
    </xf>
    <xf numFmtId="0" fontId="13" fillId="0" borderId="0" xfId="0" quotePrefix="1" applyFont="1" applyAlignment="1">
      <alignment horizontal="center" vertical="top" wrapText="1"/>
    </xf>
    <xf numFmtId="0" fontId="1" fillId="0" borderId="15" xfId="0" quotePrefix="1" applyFont="1" applyBorder="1" applyAlignment="1">
      <alignment horizontal="left" vertical="top"/>
    </xf>
    <xf numFmtId="0" fontId="43" fillId="0" borderId="0" xfId="314" quotePrefix="1" applyFont="1"/>
    <xf numFmtId="0" fontId="2" fillId="0" borderId="98" xfId="314" quotePrefix="1" applyFont="1" applyBorder="1" applyAlignment="1">
      <alignment horizontal="center"/>
    </xf>
    <xf numFmtId="0" fontId="2" fillId="0" borderId="102" xfId="314" quotePrefix="1" applyFont="1" applyBorder="1" applyAlignment="1">
      <alignment horizontal="center"/>
    </xf>
    <xf numFmtId="260" fontId="2" fillId="0" borderId="111" xfId="314" quotePrefix="1" applyNumberFormat="1" applyFont="1" applyBorder="1" applyAlignment="1">
      <alignment horizontal="center" vertical="top"/>
    </xf>
    <xf numFmtId="260" fontId="2" fillId="0" borderId="102" xfId="314" quotePrefix="1" applyNumberFormat="1" applyFont="1" applyBorder="1" applyAlignment="1">
      <alignment horizontal="center" vertical="top"/>
    </xf>
    <xf numFmtId="0" fontId="2" fillId="0" borderId="0" xfId="0" quotePrefix="1" applyFont="1" applyAlignment="1">
      <alignment horizontal="left"/>
    </xf>
    <xf numFmtId="0" fontId="2" fillId="0" borderId="0" xfId="0" quotePrefix="1" applyFont="1" applyAlignment="1">
      <alignment horizontal="justify" vertical="top"/>
    </xf>
    <xf numFmtId="0" fontId="12" fillId="0" borderId="0" xfId="0" quotePrefix="1" applyFont="1" applyAlignment="1">
      <alignment vertical="top"/>
    </xf>
    <xf numFmtId="0" fontId="25" fillId="0" borderId="0" xfId="0" quotePrefix="1" applyFont="1" applyAlignment="1">
      <alignment vertical="top"/>
    </xf>
    <xf numFmtId="252" fontId="2" fillId="0" borderId="0" xfId="0" quotePrefix="1" applyNumberFormat="1" applyFont="1" applyAlignment="1">
      <alignment horizontal="left" vertical="top" wrapText="1"/>
    </xf>
    <xf numFmtId="274" fontId="2" fillId="0" borderId="20" xfId="0" applyNumberFormat="1" applyFont="1" applyBorder="1" applyAlignment="1">
      <alignment horizontal="justify" vertical="top"/>
    </xf>
    <xf numFmtId="274" fontId="2" fillId="0" borderId="25" xfId="0" applyNumberFormat="1" applyFont="1" applyBorder="1" applyAlignment="1">
      <alignment horizontal="right" vertical="top"/>
    </xf>
    <xf numFmtId="274" fontId="2" fillId="0" borderId="27" xfId="0" applyNumberFormat="1" applyFont="1" applyBorder="1" applyAlignment="1">
      <alignment horizontal="right" vertical="top"/>
    </xf>
    <xf numFmtId="257" fontId="13" fillId="0" borderId="31" xfId="0" applyNumberFormat="1" applyFont="1" applyBorder="1" applyAlignment="1">
      <alignment horizontal="right" vertical="top"/>
    </xf>
    <xf numFmtId="3" fontId="221" fillId="0" borderId="31" xfId="0" applyNumberFormat="1" applyFont="1" applyBorder="1" applyAlignment="1">
      <alignment horizontal="right" vertical="top"/>
    </xf>
    <xf numFmtId="0" fontId="222" fillId="0" borderId="0" xfId="0" applyFont="1"/>
    <xf numFmtId="258" fontId="223" fillId="0" borderId="0" xfId="0" applyNumberFormat="1" applyFont="1" applyAlignment="1">
      <alignment horizontal="center"/>
    </xf>
    <xf numFmtId="9" fontId="2" fillId="0" borderId="0" xfId="0" applyNumberFormat="1" applyFont="1" applyAlignment="1">
      <alignment horizontal="left"/>
    </xf>
    <xf numFmtId="0" fontId="224" fillId="0" borderId="3" xfId="311" applyFont="1" applyBorder="1"/>
    <xf numFmtId="0" fontId="220" fillId="0" borderId="151" xfId="0" applyFont="1" applyBorder="1" applyAlignment="1">
      <alignment vertical="center"/>
    </xf>
    <xf numFmtId="254" fontId="23" fillId="0" borderId="39" xfId="0" applyNumberFormat="1" applyFont="1" applyBorder="1" applyAlignment="1">
      <alignment vertical="top"/>
    </xf>
    <xf numFmtId="254" fontId="23" fillId="0" borderId="45" xfId="0" applyNumberFormat="1" applyFont="1" applyBorder="1" applyAlignment="1">
      <alignment vertical="top"/>
    </xf>
    <xf numFmtId="254" fontId="23" fillId="0" borderId="41" xfId="0" applyNumberFormat="1" applyFont="1" applyBorder="1" applyAlignment="1">
      <alignment vertical="top"/>
    </xf>
    <xf numFmtId="254" fontId="23" fillId="0" borderId="46" xfId="0" applyNumberFormat="1" applyFont="1" applyBorder="1" applyAlignment="1">
      <alignment vertical="top"/>
    </xf>
    <xf numFmtId="274" fontId="23" fillId="0" borderId="37" xfId="0" applyNumberFormat="1" applyFont="1" applyBorder="1" applyAlignment="1">
      <alignment vertical="top" wrapText="1"/>
    </xf>
    <xf numFmtId="274" fontId="23" fillId="0" borderId="43" xfId="0" applyNumberFormat="1" applyFont="1" applyBorder="1" applyAlignment="1">
      <alignment vertical="top" wrapText="1"/>
    </xf>
    <xf numFmtId="3" fontId="226" fillId="0" borderId="36" xfId="0" applyNumberFormat="1" applyFont="1" applyBorder="1" applyAlignment="1">
      <alignment horizontal="right" vertical="top"/>
    </xf>
    <xf numFmtId="0" fontId="225" fillId="0" borderId="0" xfId="0" applyFont="1"/>
    <xf numFmtId="3" fontId="221" fillId="0" borderId="77" xfId="0" applyNumberFormat="1" applyFont="1" applyBorder="1" applyAlignment="1">
      <alignment horizontal="right" vertical="top"/>
    </xf>
    <xf numFmtId="49" fontId="227" fillId="0" borderId="0" xfId="0" applyNumberFormat="1" applyFont="1" applyAlignment="1">
      <alignment horizontal="left"/>
    </xf>
    <xf numFmtId="0" fontId="229" fillId="0" borderId="0" xfId="0" applyFont="1" applyAlignment="1">
      <alignment vertical="top"/>
    </xf>
    <xf numFmtId="0" fontId="229" fillId="0" borderId="216" xfId="0" applyFont="1" applyBorder="1" applyAlignment="1">
      <alignment vertical="top"/>
    </xf>
    <xf numFmtId="0" fontId="2" fillId="0" borderId="216" xfId="0" applyFont="1" applyBorder="1" applyAlignment="1">
      <alignment horizontal="justify" vertical="top" wrapText="1"/>
    </xf>
    <xf numFmtId="0" fontId="231" fillId="0" borderId="15" xfId="0" applyFont="1" applyBorder="1"/>
    <xf numFmtId="0" fontId="229" fillId="0" borderId="0" xfId="0" applyFont="1" applyAlignment="1">
      <alignment horizontal="left" vertical="top"/>
    </xf>
    <xf numFmtId="0" fontId="229" fillId="0" borderId="15" xfId="0" applyFont="1" applyBorder="1" applyAlignment="1">
      <alignment vertical="top"/>
    </xf>
    <xf numFmtId="49" fontId="232" fillId="0" borderId="151" xfId="0" quotePrefix="1" applyNumberFormat="1" applyFont="1" applyBorder="1" applyAlignment="1">
      <alignment horizontal="center"/>
    </xf>
    <xf numFmtId="0" fontId="2" fillId="0" borderId="31" xfId="0" applyFont="1" applyBorder="1" applyAlignment="1">
      <alignment vertical="top" wrapText="1"/>
    </xf>
    <xf numFmtId="0" fontId="2" fillId="0" borderId="22" xfId="0" applyFont="1" applyBorder="1" applyAlignment="1">
      <alignment horizontal="justify" vertical="top"/>
    </xf>
    <xf numFmtId="254" fontId="2" fillId="0" borderId="29" xfId="0" applyNumberFormat="1" applyFont="1" applyBorder="1" applyAlignment="1">
      <alignment vertical="top" wrapText="1"/>
    </xf>
    <xf numFmtId="254" fontId="2" fillId="0" borderId="0" xfId="0" applyNumberFormat="1" applyFont="1" applyAlignment="1">
      <alignment vertical="top" wrapText="1"/>
    </xf>
    <xf numFmtId="0" fontId="233" fillId="0" borderId="0" xfId="0" applyFont="1" applyAlignment="1">
      <alignment vertical="top"/>
    </xf>
    <xf numFmtId="252" fontId="233" fillId="0" borderId="0" xfId="0" applyNumberFormat="1" applyFont="1" applyAlignment="1">
      <alignment vertical="top"/>
    </xf>
    <xf numFmtId="4" fontId="233" fillId="0" borderId="0" xfId="0" applyNumberFormat="1" applyFont="1" applyAlignment="1">
      <alignment vertical="top"/>
    </xf>
    <xf numFmtId="0" fontId="234" fillId="0" borderId="0" xfId="0" applyFont="1" applyAlignment="1">
      <alignment vertical="top"/>
    </xf>
    <xf numFmtId="4" fontId="235" fillId="0" borderId="0" xfId="0" applyNumberFormat="1" applyFont="1" applyAlignment="1">
      <alignment vertical="top"/>
    </xf>
    <xf numFmtId="0" fontId="233" fillId="0" borderId="0" xfId="0" quotePrefix="1" applyFont="1" applyAlignment="1">
      <alignment vertical="top"/>
    </xf>
    <xf numFmtId="0" fontId="218" fillId="0" borderId="0" xfId="0" applyFont="1"/>
    <xf numFmtId="0" fontId="218" fillId="0" borderId="0" xfId="0" applyFont="1" applyAlignment="1">
      <alignment horizontal="right"/>
    </xf>
    <xf numFmtId="0" fontId="44" fillId="15" borderId="32" xfId="0" applyFont="1" applyFill="1" applyBorder="1" applyAlignment="1">
      <alignment horizontal="center" vertical="center"/>
    </xf>
    <xf numFmtId="0" fontId="44" fillId="15" borderId="33" xfId="0" applyFont="1" applyFill="1" applyBorder="1" applyAlignment="1">
      <alignment horizontal="center" vertical="center"/>
    </xf>
    <xf numFmtId="260" fontId="73" fillId="0" borderId="0" xfId="0" applyNumberFormat="1" applyFont="1" applyAlignment="1">
      <alignment horizontal="center" vertical="center" textRotation="45" wrapText="1"/>
    </xf>
    <xf numFmtId="260" fontId="73" fillId="0" borderId="12" xfId="0" applyNumberFormat="1" applyFont="1" applyBorder="1" applyAlignment="1">
      <alignment horizontal="center" vertical="center" textRotation="45" wrapText="1"/>
    </xf>
    <xf numFmtId="0" fontId="3" fillId="0" borderId="0" xfId="0" applyFont="1" applyAlignment="1">
      <alignment horizontal="center" vertical="top"/>
    </xf>
    <xf numFmtId="0" fontId="4" fillId="0" borderId="0" xfId="0" applyFont="1" applyAlignment="1">
      <alignment horizontal="center" vertical="center" shrinkToFit="1"/>
    </xf>
    <xf numFmtId="0" fontId="5" fillId="0" borderId="17" xfId="0" applyFont="1" applyBorder="1" applyAlignment="1">
      <alignment horizontal="center" vertical="top"/>
    </xf>
    <xf numFmtId="0" fontId="16" fillId="0" borderId="0" xfId="0" applyFont="1" applyAlignment="1">
      <alignment horizontal="center" vertical="top" wrapText="1"/>
    </xf>
    <xf numFmtId="0" fontId="17" fillId="0" borderId="0" xfId="0" applyFont="1" applyAlignment="1">
      <alignment horizontal="center" vertical="top" wrapText="1"/>
    </xf>
    <xf numFmtId="0" fontId="12" fillId="0" borderId="0" xfId="0" applyFont="1" applyAlignment="1">
      <alignment vertical="top" wrapText="1"/>
    </xf>
    <xf numFmtId="0" fontId="22" fillId="0" borderId="32" xfId="0" applyFont="1" applyBorder="1" applyAlignment="1">
      <alignment horizontal="center" vertical="top"/>
    </xf>
    <xf numFmtId="0" fontId="22" fillId="0" borderId="33" xfId="0" applyFont="1" applyBorder="1" applyAlignment="1">
      <alignment horizontal="center" vertical="top"/>
    </xf>
    <xf numFmtId="0" fontId="22" fillId="0" borderId="34" xfId="0" applyFont="1" applyBorder="1" applyAlignment="1">
      <alignment horizontal="center" vertical="top"/>
    </xf>
    <xf numFmtId="0" fontId="12" fillId="0" borderId="175" xfId="0" applyFont="1" applyBorder="1" applyAlignment="1">
      <alignment vertical="top"/>
    </xf>
    <xf numFmtId="0" fontId="12" fillId="0" borderId="196" xfId="0" applyFont="1" applyBorder="1" applyAlignment="1">
      <alignment vertical="top"/>
    </xf>
    <xf numFmtId="0" fontId="12" fillId="0" borderId="176" xfId="0" applyFont="1" applyBorder="1" applyAlignment="1">
      <alignment vertical="top"/>
    </xf>
    <xf numFmtId="0" fontId="12" fillId="0" borderId="178" xfId="0" applyFont="1" applyBorder="1" applyAlignment="1">
      <alignment vertical="top"/>
    </xf>
    <xf numFmtId="0" fontId="12" fillId="0" borderId="197" xfId="0" applyFont="1" applyBorder="1" applyAlignment="1">
      <alignment vertical="top"/>
    </xf>
    <xf numFmtId="0" fontId="12" fillId="0" borderId="179" xfId="0" applyFont="1" applyBorder="1" applyAlignment="1">
      <alignment vertical="top"/>
    </xf>
    <xf numFmtId="0" fontId="12" fillId="0" borderId="181" xfId="0" applyFont="1" applyBorder="1" applyAlignment="1">
      <alignment vertical="top"/>
    </xf>
    <xf numFmtId="0" fontId="12" fillId="0" borderId="198" xfId="0" applyFont="1" applyBorder="1" applyAlignment="1">
      <alignment vertical="top"/>
    </xf>
    <xf numFmtId="0" fontId="12" fillId="0" borderId="182" xfId="0" applyFont="1" applyBorder="1" applyAlignment="1">
      <alignment vertical="top"/>
    </xf>
    <xf numFmtId="0" fontId="12" fillId="0" borderId="0" xfId="0" applyFont="1" applyAlignment="1">
      <alignment horizontal="justify" vertical="top"/>
    </xf>
    <xf numFmtId="0" fontId="22" fillId="0" borderId="12" xfId="0" applyFont="1" applyBorder="1" applyAlignment="1">
      <alignment vertical="top" wrapText="1"/>
    </xf>
    <xf numFmtId="0" fontId="36" fillId="11" borderId="152" xfId="289" applyFont="1" applyFill="1" applyBorder="1" applyAlignment="1">
      <alignment horizontal="center" vertical="top"/>
    </xf>
    <xf numFmtId="0" fontId="25" fillId="0" borderId="190" xfId="289" applyBorder="1" applyAlignment="1">
      <alignment vertical="top" wrapText="1"/>
    </xf>
    <xf numFmtId="0" fontId="25" fillId="0" borderId="191" xfId="289" applyBorder="1" applyAlignment="1">
      <alignment vertical="top" wrapText="1"/>
    </xf>
    <xf numFmtId="0" fontId="25" fillId="0" borderId="192" xfId="289" applyBorder="1" applyAlignment="1">
      <alignment vertical="top" wrapText="1"/>
    </xf>
    <xf numFmtId="0" fontId="2" fillId="0" borderId="0" xfId="0" applyFont="1" applyAlignment="1">
      <alignment vertical="top" wrapText="1"/>
    </xf>
    <xf numFmtId="0" fontId="25" fillId="0" borderId="0" xfId="289" quotePrefix="1" applyAlignment="1">
      <alignment horizontal="justify" vertical="top" wrapText="1"/>
    </xf>
    <xf numFmtId="0" fontId="25" fillId="0" borderId="0" xfId="289" applyAlignment="1">
      <alignment horizontal="justify" vertical="top" wrapText="1"/>
    </xf>
    <xf numFmtId="0" fontId="25" fillId="0" borderId="159" xfId="289" applyBorder="1" applyAlignment="1">
      <alignment vertical="top" wrapText="1"/>
    </xf>
    <xf numFmtId="0" fontId="25" fillId="0" borderId="160" xfId="289" applyBorder="1" applyAlignment="1">
      <alignment vertical="top" wrapText="1"/>
    </xf>
    <xf numFmtId="0" fontId="25" fillId="0" borderId="169" xfId="289" applyBorder="1" applyAlignment="1">
      <alignment vertical="top" wrapText="1"/>
    </xf>
    <xf numFmtId="0" fontId="25" fillId="0" borderId="155" xfId="289" applyBorder="1" applyAlignment="1">
      <alignment vertical="top" wrapText="1"/>
    </xf>
    <xf numFmtId="0" fontId="25" fillId="0" borderId="158" xfId="289" applyBorder="1" applyAlignment="1">
      <alignment vertical="top" wrapText="1"/>
    </xf>
    <xf numFmtId="0" fontId="25" fillId="0" borderId="168" xfId="289" applyBorder="1" applyAlignment="1">
      <alignment vertical="top" wrapText="1"/>
    </xf>
    <xf numFmtId="0" fontId="6" fillId="0" borderId="0" xfId="0" applyFont="1" applyAlignment="1">
      <alignment horizontal="center" vertical="top"/>
    </xf>
    <xf numFmtId="0" fontId="13" fillId="0" borderId="24" xfId="0" applyFont="1" applyBorder="1" applyAlignment="1">
      <alignment horizontal="center" vertical="center"/>
    </xf>
    <xf numFmtId="0" fontId="13" fillId="0" borderId="31" xfId="0" applyFont="1" applyBorder="1" applyAlignment="1">
      <alignment horizontal="center" vertical="center"/>
    </xf>
    <xf numFmtId="0" fontId="13" fillId="0" borderId="36" xfId="0" applyFont="1" applyBorder="1" applyAlignment="1">
      <alignment horizontal="center" vertical="center"/>
    </xf>
    <xf numFmtId="0" fontId="2" fillId="0" borderId="24" xfId="0" applyFont="1" applyBorder="1" applyAlignment="1">
      <alignment vertical="top" wrapText="1"/>
    </xf>
    <xf numFmtId="0" fontId="2" fillId="0" borderId="31" xfId="0" applyFont="1" applyBorder="1" applyAlignment="1">
      <alignment vertical="top" wrapText="1"/>
    </xf>
    <xf numFmtId="0" fontId="2" fillId="0" borderId="36" xfId="0" applyFont="1" applyBorder="1" applyAlignment="1">
      <alignment vertical="top" wrapText="1"/>
    </xf>
    <xf numFmtId="0" fontId="2" fillId="0" borderId="24" xfId="0" quotePrefix="1" applyFont="1" applyBorder="1" applyAlignment="1">
      <alignment horizontal="left" vertical="top" wrapText="1"/>
    </xf>
    <xf numFmtId="0" fontId="2" fillId="0" borderId="31" xfId="0" applyFont="1" applyBorder="1" applyAlignment="1">
      <alignment horizontal="left" vertical="top"/>
    </xf>
    <xf numFmtId="0" fontId="2" fillId="0" borderId="36" xfId="0" applyFont="1" applyBorder="1" applyAlignment="1">
      <alignment horizontal="left" vertical="top"/>
    </xf>
    <xf numFmtId="0" fontId="2" fillId="0" borderId="31" xfId="0" applyFont="1" applyBorder="1" applyAlignment="1">
      <alignment horizontal="left" vertical="top" wrapText="1"/>
    </xf>
    <xf numFmtId="0" fontId="2" fillId="0" borderId="36" xfId="0" applyFont="1" applyBorder="1" applyAlignment="1">
      <alignment horizontal="left" vertical="top" wrapText="1"/>
    </xf>
    <xf numFmtId="0" fontId="2" fillId="0" borderId="41" xfId="0" applyFont="1" applyBorder="1" applyAlignment="1">
      <alignment vertical="top" wrapText="1"/>
    </xf>
    <xf numFmtId="0" fontId="2" fillId="0" borderId="46" xfId="0" applyFont="1" applyBorder="1" applyAlignment="1">
      <alignment vertical="top" wrapText="1"/>
    </xf>
    <xf numFmtId="0" fontId="2" fillId="0" borderId="42" xfId="0" applyFont="1" applyBorder="1" applyAlignment="1">
      <alignment vertical="top" wrapText="1"/>
    </xf>
    <xf numFmtId="0" fontId="2" fillId="0" borderId="41" xfId="0" applyFont="1" applyBorder="1" applyAlignment="1">
      <alignment horizontal="left" vertical="top" wrapText="1"/>
    </xf>
    <xf numFmtId="0" fontId="2" fillId="0" borderId="46" xfId="0" applyFont="1" applyBorder="1" applyAlignment="1">
      <alignment horizontal="left" vertical="top" wrapText="1"/>
    </xf>
    <xf numFmtId="0" fontId="2" fillId="0" borderId="42" xfId="0" applyFont="1" applyBorder="1" applyAlignment="1">
      <alignment horizontal="left" vertical="top" wrapText="1"/>
    </xf>
    <xf numFmtId="0" fontId="2" fillId="0" borderId="24" xfId="0" applyFont="1" applyBorder="1" applyAlignment="1">
      <alignment horizontal="left" vertical="top"/>
    </xf>
    <xf numFmtId="0" fontId="68" fillId="0" borderId="0" xfId="0" applyFont="1" applyAlignment="1">
      <alignment horizontal="center" vertical="center" shrinkToFit="1"/>
    </xf>
    <xf numFmtId="0" fontId="13" fillId="0" borderId="24"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41" xfId="0" applyFont="1" applyBorder="1" applyAlignment="1">
      <alignment vertical="top" wrapText="1"/>
    </xf>
    <xf numFmtId="0" fontId="13" fillId="0" borderId="46" xfId="0" applyFont="1" applyBorder="1" applyAlignment="1">
      <alignment vertical="top" wrapText="1"/>
    </xf>
    <xf numFmtId="0" fontId="13" fillId="0" borderId="42" xfId="0" applyFont="1" applyBorder="1" applyAlignment="1">
      <alignment vertical="top" wrapText="1"/>
    </xf>
    <xf numFmtId="0" fontId="2" fillId="0" borderId="39" xfId="0" applyFont="1" applyBorder="1" applyAlignment="1">
      <alignment horizontal="justify" vertical="top"/>
    </xf>
    <xf numFmtId="0" fontId="2" fillId="0" borderId="45" xfId="0" applyFont="1" applyBorder="1" applyAlignment="1">
      <alignment horizontal="justify" vertical="top"/>
    </xf>
    <xf numFmtId="0" fontId="2" fillId="0" borderId="40" xfId="0" applyFont="1" applyBorder="1" applyAlignment="1">
      <alignment horizontal="justify" vertical="top"/>
    </xf>
    <xf numFmtId="0" fontId="13" fillId="0" borderId="22" xfId="0" applyFont="1" applyBorder="1" applyAlignment="1">
      <alignment vertical="top" wrapText="1"/>
    </xf>
    <xf numFmtId="0" fontId="13" fillId="0" borderId="20" xfId="0" applyFont="1" applyBorder="1" applyAlignment="1">
      <alignment horizontal="center" vertical="center" wrapText="1"/>
    </xf>
    <xf numFmtId="0" fontId="13" fillId="0" borderId="27" xfId="0" applyFont="1" applyBorder="1" applyAlignment="1">
      <alignment horizontal="center" vertical="center" wrapText="1"/>
    </xf>
    <xf numFmtId="0" fontId="2" fillId="0" borderId="41" xfId="0" applyFont="1" applyBorder="1" applyAlignment="1">
      <alignment horizontal="center" vertical="top" wrapText="1"/>
    </xf>
    <xf numFmtId="0" fontId="2" fillId="0" borderId="46" xfId="0" applyFont="1" applyBorder="1" applyAlignment="1">
      <alignment horizontal="center" vertical="top" wrapText="1"/>
    </xf>
    <xf numFmtId="0" fontId="2" fillId="0" borderId="42" xfId="0" applyFont="1" applyBorder="1" applyAlignment="1">
      <alignment horizontal="center" vertical="top" wrapText="1"/>
    </xf>
    <xf numFmtId="0" fontId="15" fillId="0" borderId="0" xfId="0" applyFont="1" applyAlignment="1">
      <alignment horizontal="center" vertical="center" shrinkToFit="1"/>
    </xf>
    <xf numFmtId="0" fontId="25" fillId="0" borderId="15" xfId="288" applyBorder="1" applyAlignment="1">
      <alignment horizontal="center" vertical="top"/>
    </xf>
    <xf numFmtId="0" fontId="25" fillId="0" borderId="0" xfId="288" applyAlignment="1">
      <alignment horizontal="center" vertical="top"/>
    </xf>
    <xf numFmtId="0" fontId="25" fillId="0" borderId="18" xfId="288" applyBorder="1" applyAlignment="1">
      <alignment horizontal="center" vertical="top"/>
    </xf>
    <xf numFmtId="0" fontId="48" fillId="0" borderId="0" xfId="0" applyFont="1" applyAlignment="1">
      <alignment horizontal="center" vertical="top" shrinkToFit="1"/>
    </xf>
    <xf numFmtId="0" fontId="23" fillId="0" borderId="17" xfId="0" applyFont="1" applyBorder="1" applyAlignment="1">
      <alignment horizontal="center" vertical="top" shrinkToFit="1"/>
    </xf>
    <xf numFmtId="0" fontId="25" fillId="0" borderId="12" xfId="288" applyBorder="1" applyAlignment="1">
      <alignment horizontal="left"/>
    </xf>
    <xf numFmtId="0" fontId="25" fillId="0" borderId="13" xfId="288" applyBorder="1" applyAlignment="1">
      <alignment horizontal="left"/>
    </xf>
    <xf numFmtId="0" fontId="25" fillId="0" borderId="12" xfId="288" applyBorder="1" applyAlignment="1">
      <alignment horizontal="left" vertical="top"/>
    </xf>
    <xf numFmtId="0" fontId="25" fillId="0" borderId="13" xfId="288" applyBorder="1" applyAlignment="1">
      <alignment horizontal="left" vertical="top"/>
    </xf>
    <xf numFmtId="0" fontId="25" fillId="0" borderId="15" xfId="288" applyBorder="1" applyAlignment="1">
      <alignment horizontal="left" vertical="top"/>
    </xf>
    <xf numFmtId="0" fontId="25" fillId="0" borderId="0" xfId="288" applyAlignment="1">
      <alignment horizontal="left" vertical="top"/>
    </xf>
    <xf numFmtId="0" fontId="25" fillId="0" borderId="18" xfId="288" applyBorder="1" applyAlignment="1">
      <alignment horizontal="left" vertical="top"/>
    </xf>
    <xf numFmtId="0" fontId="25" fillId="0" borderId="11" xfId="288" applyBorder="1" applyAlignment="1">
      <alignment horizontal="justify" vertical="top" wrapText="1"/>
    </xf>
    <xf numFmtId="0" fontId="25" fillId="0" borderId="12" xfId="288" applyBorder="1" applyAlignment="1">
      <alignment horizontal="justify" vertical="top" wrapText="1"/>
    </xf>
    <xf numFmtId="0" fontId="25" fillId="0" borderId="13" xfId="288" applyBorder="1" applyAlignment="1">
      <alignment horizontal="justify" vertical="top" wrapText="1"/>
    </xf>
    <xf numFmtId="0" fontId="25" fillId="0" borderId="7" xfId="288" applyBorder="1" applyAlignment="1">
      <alignment horizontal="center" vertical="top"/>
    </xf>
    <xf numFmtId="0" fontId="25" fillId="0" borderId="8" xfId="288" applyBorder="1" applyAlignment="1">
      <alignment horizontal="center" vertical="top"/>
    </xf>
    <xf numFmtId="0" fontId="25" fillId="0" borderId="9" xfId="288" applyBorder="1" applyAlignment="1">
      <alignment horizontal="center" vertical="top"/>
    </xf>
    <xf numFmtId="0" fontId="25" fillId="0" borderId="0" xfId="288" applyAlignment="1">
      <alignment horizontal="justify" vertical="top"/>
    </xf>
    <xf numFmtId="0" fontId="25" fillId="0" borderId="18" xfId="288" applyBorder="1" applyAlignment="1">
      <alignment horizontal="justify" vertical="top"/>
    </xf>
    <xf numFmtId="0" fontId="67" fillId="0" borderId="15" xfId="288" applyFont="1" applyBorder="1" applyAlignment="1">
      <alignment horizontal="center" vertical="top"/>
    </xf>
    <xf numFmtId="0" fontId="67" fillId="0" borderId="0" xfId="288" applyFont="1" applyAlignment="1">
      <alignment horizontal="center" vertical="top"/>
    </xf>
    <xf numFmtId="0" fontId="67" fillId="0" borderId="18" xfId="288" applyFont="1" applyBorder="1" applyAlignment="1">
      <alignment horizontal="center" vertical="top"/>
    </xf>
    <xf numFmtId="0" fontId="25" fillId="0" borderId="15" xfId="288" applyBorder="1" applyAlignment="1">
      <alignment horizontal="center" vertical="top" wrapText="1"/>
    </xf>
    <xf numFmtId="0" fontId="25" fillId="0" borderId="0" xfId="288" applyAlignment="1">
      <alignment horizontal="center" vertical="top" wrapText="1"/>
    </xf>
    <xf numFmtId="0" fontId="25" fillId="0" borderId="18" xfId="288" applyBorder="1" applyAlignment="1">
      <alignment horizontal="center" vertical="top" wrapText="1"/>
    </xf>
    <xf numFmtId="0" fontId="36" fillId="0" borderId="15" xfId="288" applyFont="1" applyBorder="1" applyAlignment="1">
      <alignment horizontal="center" vertical="top"/>
    </xf>
    <xf numFmtId="0" fontId="36" fillId="0" borderId="0" xfId="288" applyFont="1" applyAlignment="1">
      <alignment horizontal="center" vertical="top"/>
    </xf>
    <xf numFmtId="0" fontId="36" fillId="0" borderId="18" xfId="288" applyFont="1" applyBorder="1" applyAlignment="1">
      <alignment horizontal="center" vertical="top"/>
    </xf>
    <xf numFmtId="0" fontId="25" fillId="0" borderId="0" xfId="288" applyAlignment="1">
      <alignment horizontal="justify" vertical="top" wrapText="1"/>
    </xf>
    <xf numFmtId="0" fontId="25" fillId="0" borderId="18" xfId="288" applyBorder="1" applyAlignment="1">
      <alignment horizontal="justify" vertical="top" wrapText="1"/>
    </xf>
    <xf numFmtId="0" fontId="25" fillId="0" borderId="12" xfId="288" applyBorder="1" applyAlignment="1">
      <alignment horizontal="justify" vertical="top"/>
    </xf>
    <xf numFmtId="0" fontId="25" fillId="0" borderId="13" xfId="288" applyBorder="1" applyAlignment="1">
      <alignment horizontal="justify" vertical="top"/>
    </xf>
    <xf numFmtId="0" fontId="25" fillId="0" borderId="8" xfId="288" applyBorder="1" applyAlignment="1">
      <alignment horizontal="justify" vertical="top"/>
    </xf>
    <xf numFmtId="0" fontId="25" fillId="0" borderId="9" xfId="288" applyBorder="1" applyAlignment="1">
      <alignment horizontal="justify" vertical="top"/>
    </xf>
    <xf numFmtId="0" fontId="36" fillId="0" borderId="7" xfId="288" applyFont="1" applyBorder="1" applyAlignment="1">
      <alignment horizontal="center" vertical="center" wrapText="1"/>
    </xf>
    <xf numFmtId="0" fontId="36" fillId="0" borderId="8" xfId="288" applyFont="1" applyBorder="1" applyAlignment="1">
      <alignment horizontal="center" vertical="center" wrapText="1"/>
    </xf>
    <xf numFmtId="0" fontId="36" fillId="0" borderId="9" xfId="288" applyFont="1" applyBorder="1" applyAlignment="1">
      <alignment horizontal="center" vertical="center" wrapText="1"/>
    </xf>
    <xf numFmtId="0" fontId="36" fillId="0" borderId="15" xfId="288" applyFont="1" applyBorder="1" applyAlignment="1">
      <alignment horizontal="center" vertical="center" wrapText="1"/>
    </xf>
    <xf numFmtId="0" fontId="36" fillId="0" borderId="0" xfId="288" applyFont="1" applyAlignment="1">
      <alignment horizontal="center" vertical="center" wrapText="1"/>
    </xf>
    <xf numFmtId="0" fontId="36" fillId="0" borderId="18" xfId="288" applyFont="1" applyBorder="1" applyAlignment="1">
      <alignment horizontal="center" vertical="center" wrapText="1"/>
    </xf>
    <xf numFmtId="0" fontId="36" fillId="0" borderId="7" xfId="288" applyFont="1" applyBorder="1" applyAlignment="1">
      <alignment horizontal="center" vertical="center"/>
    </xf>
    <xf numFmtId="0" fontId="36" fillId="0" borderId="8" xfId="288" applyFont="1" applyBorder="1" applyAlignment="1">
      <alignment horizontal="center" vertical="center"/>
    </xf>
    <xf numFmtId="0" fontId="36" fillId="0" borderId="9" xfId="288" applyFont="1" applyBorder="1" applyAlignment="1">
      <alignment horizontal="center" vertical="center"/>
    </xf>
    <xf numFmtId="0" fontId="36" fillId="0" borderId="15" xfId="288" applyFont="1" applyBorder="1" applyAlignment="1">
      <alignment horizontal="center" vertical="center"/>
    </xf>
    <xf numFmtId="0" fontId="36" fillId="0" borderId="0" xfId="288" applyFont="1" applyAlignment="1">
      <alignment horizontal="center" vertical="center"/>
    </xf>
    <xf numFmtId="0" fontId="36" fillId="0" borderId="18" xfId="288" applyFont="1" applyBorder="1" applyAlignment="1">
      <alignment horizontal="center" vertical="center"/>
    </xf>
    <xf numFmtId="0" fontId="36" fillId="0" borderId="11" xfId="288" applyFont="1" applyBorder="1" applyAlignment="1">
      <alignment horizontal="center" vertical="center"/>
    </xf>
    <xf numFmtId="0" fontId="36" fillId="0" borderId="12" xfId="288" applyFont="1" applyBorder="1" applyAlignment="1">
      <alignment horizontal="center" vertical="center"/>
    </xf>
    <xf numFmtId="0" fontId="36" fillId="0" borderId="13" xfId="288" applyFont="1" applyBorder="1" applyAlignment="1">
      <alignment horizontal="center" vertical="center"/>
    </xf>
    <xf numFmtId="0" fontId="25" fillId="0" borderId="7" xfId="288" applyBorder="1" applyAlignment="1">
      <alignment horizontal="justify" vertical="center"/>
    </xf>
    <xf numFmtId="0" fontId="25" fillId="0" borderId="8" xfId="288" applyBorder="1" applyAlignment="1">
      <alignment horizontal="justify" vertical="center"/>
    </xf>
    <xf numFmtId="0" fontId="25" fillId="0" borderId="9" xfId="288" applyBorder="1" applyAlignment="1">
      <alignment horizontal="justify" vertical="center"/>
    </xf>
    <xf numFmtId="0" fontId="25" fillId="0" borderId="15" xfId="288" applyBorder="1" applyAlignment="1">
      <alignment horizontal="justify" vertical="center"/>
    </xf>
    <xf numFmtId="0" fontId="25" fillId="0" borderId="0" xfId="288" applyAlignment="1">
      <alignment horizontal="justify" vertical="center"/>
    </xf>
    <xf numFmtId="0" fontId="25" fillId="0" borderId="18" xfId="288" applyBorder="1" applyAlignment="1">
      <alignment horizontal="justify" vertical="center"/>
    </xf>
    <xf numFmtId="0" fontId="25" fillId="0" borderId="11" xfId="288" applyBorder="1" applyAlignment="1">
      <alignment horizontal="justify" vertical="center"/>
    </xf>
    <xf numFmtId="0" fontId="25" fillId="0" borderId="12" xfId="288" applyBorder="1" applyAlignment="1">
      <alignment horizontal="justify" vertical="center"/>
    </xf>
    <xf numFmtId="0" fontId="25" fillId="0" borderId="13" xfId="288" applyBorder="1" applyAlignment="1">
      <alignment horizontal="justify" vertical="center"/>
    </xf>
    <xf numFmtId="0" fontId="25" fillId="0" borderId="15" xfId="288" applyBorder="1" applyAlignment="1">
      <alignment horizontal="justify" vertical="top" wrapText="1"/>
    </xf>
    <xf numFmtId="0" fontId="25" fillId="0" borderId="15" xfId="288" applyBorder="1" applyAlignment="1">
      <alignment horizontal="justify" vertical="top"/>
    </xf>
    <xf numFmtId="0" fontId="36" fillId="0" borderId="11" xfId="288" applyFont="1" applyBorder="1" applyAlignment="1">
      <alignment horizontal="center" vertical="center" wrapText="1"/>
    </xf>
    <xf numFmtId="0" fontId="36" fillId="0" borderId="12" xfId="288" applyFont="1" applyBorder="1" applyAlignment="1">
      <alignment horizontal="center" vertical="center" wrapText="1"/>
    </xf>
    <xf numFmtId="0" fontId="36" fillId="0" borderId="13" xfId="288" applyFont="1" applyBorder="1" applyAlignment="1">
      <alignment horizontal="center" vertical="center" wrapText="1"/>
    </xf>
    <xf numFmtId="0" fontId="36" fillId="0" borderId="7" xfId="288" applyFont="1" applyBorder="1" applyAlignment="1">
      <alignment horizontal="center" wrapText="1"/>
    </xf>
    <xf numFmtId="0" fontId="36" fillId="0" borderId="8" xfId="288" applyFont="1" applyBorder="1" applyAlignment="1">
      <alignment horizontal="center" wrapText="1"/>
    </xf>
    <xf numFmtId="0" fontId="36" fillId="0" borderId="9" xfId="288" applyFont="1" applyBorder="1" applyAlignment="1">
      <alignment horizontal="center" wrapText="1"/>
    </xf>
    <xf numFmtId="0" fontId="36" fillId="0" borderId="15" xfId="288" applyFont="1" applyBorder="1" applyAlignment="1">
      <alignment horizontal="center" wrapText="1"/>
    </xf>
    <xf numFmtId="0" fontId="36" fillId="0" borderId="0" xfId="288" applyFont="1" applyAlignment="1">
      <alignment horizontal="center" wrapText="1"/>
    </xf>
    <xf numFmtId="0" fontId="36" fillId="0" borderId="18" xfId="288" applyFont="1" applyBorder="1" applyAlignment="1">
      <alignment horizontal="center" wrapText="1"/>
    </xf>
    <xf numFmtId="0" fontId="66" fillId="0" borderId="15" xfId="288" applyFont="1" applyBorder="1" applyAlignment="1">
      <alignment horizontal="center" vertical="center" wrapText="1"/>
    </xf>
    <xf numFmtId="0" fontId="66" fillId="0" borderId="0" xfId="288" applyFont="1" applyAlignment="1">
      <alignment horizontal="center" vertical="center" wrapText="1"/>
    </xf>
    <xf numFmtId="0" fontId="66" fillId="0" borderId="18" xfId="288" applyFont="1" applyBorder="1" applyAlignment="1">
      <alignment horizontal="center" vertical="center" wrapText="1"/>
    </xf>
    <xf numFmtId="0" fontId="65" fillId="0" borderId="0" xfId="0" applyFont="1" applyAlignment="1">
      <alignment horizontal="center" vertical="center" shrinkToFit="1"/>
    </xf>
    <xf numFmtId="0" fontId="25" fillId="0" borderId="12" xfId="288" applyBorder="1" applyAlignment="1">
      <alignment vertical="top"/>
    </xf>
    <xf numFmtId="0" fontId="25" fillId="0" borderId="13" xfId="288" applyBorder="1" applyAlignment="1">
      <alignment vertical="top"/>
    </xf>
    <xf numFmtId="0" fontId="25" fillId="0" borderId="11" xfId="288" applyBorder="1" applyAlignment="1">
      <alignment horizontal="justify" vertical="top"/>
    </xf>
    <xf numFmtId="49" fontId="25" fillId="0" borderId="15" xfId="288" applyNumberFormat="1" applyBorder="1" applyAlignment="1">
      <alignment horizontal="justify" vertical="top" wrapText="1"/>
    </xf>
    <xf numFmtId="0" fontId="66" fillId="0" borderId="15" xfId="288" applyFont="1" applyBorder="1" applyAlignment="1">
      <alignment horizontal="justify" vertical="top"/>
    </xf>
    <xf numFmtId="0" fontId="66" fillId="0" borderId="0" xfId="288" applyFont="1" applyAlignment="1">
      <alignment horizontal="justify" vertical="top"/>
    </xf>
    <xf numFmtId="0" fontId="66" fillId="0" borderId="18" xfId="288" applyFont="1" applyBorder="1" applyAlignment="1">
      <alignment horizontal="justify" vertical="top"/>
    </xf>
    <xf numFmtId="0" fontId="59" fillId="0" borderId="0" xfId="0" applyFont="1" applyAlignment="1">
      <alignment horizontal="center" vertical="center" shrinkToFit="1"/>
    </xf>
    <xf numFmtId="0" fontId="22" fillId="0" borderId="0" xfId="0" applyFont="1" applyAlignment="1">
      <alignment horizontal="justify" vertical="top" wrapText="1"/>
    </xf>
    <xf numFmtId="0" fontId="34" fillId="0" borderId="0" xfId="0" applyFont="1" applyAlignment="1">
      <alignment horizontal="justify" vertical="top"/>
    </xf>
    <xf numFmtId="0" fontId="2" fillId="0" borderId="175" xfId="0" applyFont="1" applyBorder="1" applyAlignment="1">
      <alignment horizontal="left" vertical="top" wrapText="1"/>
    </xf>
    <xf numFmtId="0" fontId="2" fillId="0" borderId="176" xfId="0" applyFont="1" applyBorder="1" applyAlignment="1">
      <alignment horizontal="left" vertical="top" wrapText="1"/>
    </xf>
    <xf numFmtId="0" fontId="2" fillId="0" borderId="0" xfId="0" applyFont="1" applyAlignment="1">
      <alignment horizontal="justify" vertical="top" wrapText="1"/>
    </xf>
    <xf numFmtId="0" fontId="2" fillId="0" borderId="178" xfId="0" applyFont="1" applyBorder="1" applyAlignment="1">
      <alignment horizontal="left" vertical="top" wrapText="1"/>
    </xf>
    <xf numFmtId="0" fontId="2" fillId="0" borderId="179" xfId="0" applyFont="1" applyBorder="1" applyAlignment="1">
      <alignment horizontal="left" vertical="top" wrapText="1"/>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2" fillId="0" borderId="181" xfId="0" applyFont="1" applyBorder="1" applyAlignment="1">
      <alignment horizontal="left" vertical="top" wrapText="1"/>
    </xf>
    <xf numFmtId="0" fontId="2" fillId="0" borderId="182" xfId="0" applyFont="1" applyBorder="1" applyAlignment="1">
      <alignment horizontal="left" vertical="top" wrapText="1"/>
    </xf>
    <xf numFmtId="0" fontId="13" fillId="0" borderId="150" xfId="0" applyFont="1" applyBorder="1" applyAlignment="1">
      <alignment horizontal="center" vertical="center"/>
    </xf>
    <xf numFmtId="0" fontId="13" fillId="0" borderId="149" xfId="0" applyFont="1" applyBorder="1" applyAlignment="1">
      <alignment horizontal="center" vertical="center"/>
    </xf>
    <xf numFmtId="0" fontId="13" fillId="0" borderId="150" xfId="0" applyFont="1" applyBorder="1" applyAlignment="1">
      <alignment horizontal="center" vertical="center" wrapText="1"/>
    </xf>
    <xf numFmtId="0" fontId="13" fillId="0" borderId="149" xfId="0" applyFont="1" applyBorder="1" applyAlignment="1">
      <alignment horizontal="center" vertical="center" wrapText="1"/>
    </xf>
    <xf numFmtId="0" fontId="3" fillId="0" borderId="0" xfId="290" applyFont="1" applyAlignment="1">
      <alignment horizontal="center" vertical="center"/>
    </xf>
    <xf numFmtId="0" fontId="15" fillId="0" borderId="0" xfId="290" applyFont="1" applyAlignment="1">
      <alignment horizontal="center" vertical="center" shrinkToFit="1"/>
    </xf>
    <xf numFmtId="0" fontId="5" fillId="0" borderId="17" xfId="290" applyFont="1" applyBorder="1" applyAlignment="1">
      <alignment horizontal="center" vertical="top"/>
    </xf>
    <xf numFmtId="0" fontId="52" fillId="7" borderId="7" xfId="290" applyFont="1" applyFill="1" applyBorder="1" applyAlignment="1">
      <alignment horizontal="center" vertical="center"/>
    </xf>
    <xf numFmtId="0" fontId="52" fillId="7" borderId="8" xfId="290" applyFont="1" applyFill="1" applyBorder="1" applyAlignment="1">
      <alignment horizontal="center" vertical="center"/>
    </xf>
    <xf numFmtId="0" fontId="52" fillId="7" borderId="9" xfId="290" applyFont="1" applyFill="1" applyBorder="1" applyAlignment="1">
      <alignment horizontal="center" vertical="center"/>
    </xf>
    <xf numFmtId="264" fontId="2" fillId="0" borderId="0" xfId="290" applyNumberFormat="1" applyFont="1" applyAlignment="1">
      <alignment horizontal="left" vertical="top"/>
    </xf>
    <xf numFmtId="0" fontId="25" fillId="0" borderId="0" xfId="290" quotePrefix="1" applyAlignment="1">
      <alignment vertical="top" wrapText="1"/>
    </xf>
    <xf numFmtId="0" fontId="25" fillId="0" borderId="0" xfId="290" applyAlignment="1">
      <alignment vertical="top" wrapText="1"/>
    </xf>
    <xf numFmtId="0" fontId="25" fillId="0" borderId="18" xfId="290" applyBorder="1" applyAlignment="1">
      <alignment vertical="top" wrapText="1"/>
    </xf>
    <xf numFmtId="0" fontId="2" fillId="0" borderId="0" xfId="290" quotePrefix="1" applyFont="1" applyAlignment="1">
      <alignment vertical="top"/>
    </xf>
    <xf numFmtId="0" fontId="2" fillId="0" borderId="0" xfId="290" applyFont="1" applyAlignment="1">
      <alignment vertical="top"/>
    </xf>
    <xf numFmtId="0" fontId="2" fillId="0" borderId="18" xfId="290" applyFont="1" applyBorder="1" applyAlignment="1">
      <alignment vertical="top"/>
    </xf>
    <xf numFmtId="0" fontId="25" fillId="0" borderId="5" xfId="290" applyBorder="1" applyAlignment="1">
      <alignment horizontal="left" vertical="top" wrapText="1"/>
    </xf>
    <xf numFmtId="0" fontId="36" fillId="0" borderId="0" xfId="290" applyFont="1" applyAlignment="1">
      <alignment vertical="top" wrapText="1"/>
    </xf>
    <xf numFmtId="0" fontId="36" fillId="0" borderId="18" xfId="290" applyFont="1" applyBorder="1" applyAlignment="1">
      <alignment vertical="top" wrapText="1"/>
    </xf>
    <xf numFmtId="0" fontId="36" fillId="8" borderId="11" xfId="290" applyFont="1" applyFill="1" applyBorder="1" applyAlignment="1">
      <alignment horizontal="center" vertical="top" wrapText="1"/>
    </xf>
    <xf numFmtId="0" fontId="36" fillId="8" borderId="12" xfId="290" applyFont="1" applyFill="1" applyBorder="1" applyAlignment="1">
      <alignment horizontal="center" vertical="top" wrapText="1"/>
    </xf>
    <xf numFmtId="0" fontId="36" fillId="8" borderId="13" xfId="290" applyFont="1" applyFill="1" applyBorder="1" applyAlignment="1">
      <alignment horizontal="center" vertical="top" wrapText="1"/>
    </xf>
    <xf numFmtId="0" fontId="25" fillId="0" borderId="32" xfId="290" quotePrefix="1" applyBorder="1" applyAlignment="1">
      <alignment horizontal="left" vertical="top"/>
    </xf>
    <xf numFmtId="0" fontId="25" fillId="0" borderId="33" xfId="290" applyBorder="1" applyAlignment="1">
      <alignment horizontal="left" vertical="top"/>
    </xf>
    <xf numFmtId="0" fontId="25" fillId="0" borderId="34" xfId="290" applyBorder="1" applyAlignment="1">
      <alignment horizontal="left" vertical="top"/>
    </xf>
    <xf numFmtId="0" fontId="25" fillId="0" borderId="32" xfId="290" applyBorder="1" applyAlignment="1">
      <alignment horizontal="left" vertical="top"/>
    </xf>
    <xf numFmtId="265" fontId="25" fillId="0" borderId="32" xfId="290" applyNumberFormat="1" applyBorder="1" applyAlignment="1">
      <alignment horizontal="left" vertical="top"/>
    </xf>
    <xf numFmtId="265" fontId="25" fillId="0" borderId="33" xfId="290" applyNumberFormat="1" applyBorder="1" applyAlignment="1">
      <alignment horizontal="left" vertical="top"/>
    </xf>
    <xf numFmtId="0" fontId="25" fillId="0" borderId="32" xfId="290" applyBorder="1" applyAlignment="1">
      <alignment horizontal="left" vertical="top" wrapText="1"/>
    </xf>
    <xf numFmtId="0" fontId="25" fillId="0" borderId="33" xfId="290" applyBorder="1" applyAlignment="1">
      <alignment horizontal="left" vertical="top" wrapText="1"/>
    </xf>
    <xf numFmtId="0" fontId="25" fillId="0" borderId="34" xfId="290" applyBorder="1" applyAlignment="1">
      <alignment horizontal="left" vertical="top" wrapText="1"/>
    </xf>
    <xf numFmtId="259" fontId="36" fillId="0" borderId="32" xfId="290" applyNumberFormat="1" applyFont="1" applyBorder="1" applyAlignment="1">
      <alignment horizontal="left" vertical="top"/>
    </xf>
    <xf numFmtId="259" fontId="36" fillId="0" borderId="33" xfId="290" applyNumberFormat="1" applyFont="1" applyBorder="1" applyAlignment="1">
      <alignment horizontal="left" vertical="top"/>
    </xf>
    <xf numFmtId="259" fontId="36" fillId="0" borderId="34" xfId="290" applyNumberFormat="1" applyFont="1" applyBorder="1" applyAlignment="1">
      <alignment horizontal="left" vertical="top"/>
    </xf>
    <xf numFmtId="266" fontId="25" fillId="0" borderId="32" xfId="290" applyNumberFormat="1" applyBorder="1" applyAlignment="1">
      <alignment horizontal="left" vertical="top"/>
    </xf>
    <xf numFmtId="266" fontId="25" fillId="0" borderId="33" xfId="290" applyNumberFormat="1" applyBorder="1" applyAlignment="1">
      <alignment horizontal="left" vertical="top"/>
    </xf>
    <xf numFmtId="266" fontId="25" fillId="0" borderId="34" xfId="290" applyNumberFormat="1" applyBorder="1" applyAlignment="1">
      <alignment horizontal="left" vertical="top"/>
    </xf>
    <xf numFmtId="0" fontId="25" fillId="0" borderId="15" xfId="290" applyBorder="1" applyAlignment="1">
      <alignment vertical="top" wrapText="1"/>
    </xf>
    <xf numFmtId="0" fontId="25" fillId="0" borderId="7" xfId="290" applyBorder="1" applyAlignment="1">
      <alignment horizontal="left" vertical="top"/>
    </xf>
    <xf numFmtId="0" fontId="25" fillId="0" borderId="8" xfId="290" applyBorder="1" applyAlignment="1">
      <alignment horizontal="left" vertical="top"/>
    </xf>
    <xf numFmtId="0" fontId="25" fillId="0" borderId="32" xfId="290" applyBorder="1" applyAlignment="1">
      <alignment horizontal="center" vertical="top"/>
    </xf>
    <xf numFmtId="0" fontId="25" fillId="0" borderId="34" xfId="290" applyBorder="1" applyAlignment="1">
      <alignment horizontal="center" vertical="top"/>
    </xf>
    <xf numFmtId="0" fontId="25" fillId="0" borderId="32" xfId="290" quotePrefix="1" applyBorder="1" applyAlignment="1">
      <alignment horizontal="center" vertical="top"/>
    </xf>
    <xf numFmtId="0" fontId="51" fillId="0" borderId="15" xfId="290" applyFont="1" applyBorder="1" applyAlignment="1">
      <alignment horizontal="left" vertical="top" wrapText="1"/>
    </xf>
    <xf numFmtId="0" fontId="51" fillId="0" borderId="0" xfId="290" applyFont="1" applyAlignment="1">
      <alignment horizontal="left" vertical="top" wrapText="1"/>
    </xf>
    <xf numFmtId="0" fontId="51" fillId="0" borderId="18" xfId="290" applyFont="1" applyBorder="1" applyAlignment="1">
      <alignment horizontal="left" vertical="top" wrapText="1"/>
    </xf>
    <xf numFmtId="0" fontId="51" fillId="0" borderId="15" xfId="290" applyFont="1" applyBorder="1" applyAlignment="1">
      <alignment horizontal="left" vertical="top"/>
    </xf>
    <xf numFmtId="0" fontId="51" fillId="0" borderId="0" xfId="290" applyFont="1" applyAlignment="1">
      <alignment horizontal="left" vertical="top"/>
    </xf>
    <xf numFmtId="0" fontId="51" fillId="0" borderId="18" xfId="290" applyFont="1" applyBorder="1" applyAlignment="1">
      <alignment horizontal="left" vertical="top"/>
    </xf>
    <xf numFmtId="0" fontId="54" fillId="9" borderId="12" xfId="290" applyFont="1" applyFill="1" applyBorder="1" applyAlignment="1">
      <alignment horizontal="left" vertical="center" wrapText="1"/>
    </xf>
    <xf numFmtId="0" fontId="51" fillId="0" borderId="0" xfId="290" applyFont="1" applyAlignment="1">
      <alignment horizontal="center" vertical="top"/>
    </xf>
    <xf numFmtId="0" fontId="51" fillId="0" borderId="0" xfId="290" applyFont="1" applyAlignment="1">
      <alignment horizontal="center" vertical="top" wrapText="1"/>
    </xf>
    <xf numFmtId="0" fontId="56" fillId="0" borderId="0" xfId="290" quotePrefix="1" applyFont="1" applyAlignment="1">
      <alignment horizontal="center" vertical="center"/>
    </xf>
    <xf numFmtId="0" fontId="56" fillId="0" borderId="0" xfId="290" applyFont="1" applyAlignment="1">
      <alignment horizontal="center" vertical="center"/>
    </xf>
    <xf numFmtId="0" fontId="56" fillId="0" borderId="0" xfId="290" applyFont="1" applyAlignment="1">
      <alignment horizontal="center"/>
    </xf>
    <xf numFmtId="0" fontId="51" fillId="0" borderId="0" xfId="290" quotePrefix="1" applyFont="1" applyAlignment="1">
      <alignment horizontal="center" vertical="center"/>
    </xf>
    <xf numFmtId="0" fontId="51" fillId="0" borderId="0" xfId="290" applyFont="1" applyAlignment="1">
      <alignment horizontal="center" vertical="center"/>
    </xf>
    <xf numFmtId="0" fontId="51" fillId="0" borderId="0" xfId="290" applyFont="1" applyAlignment="1">
      <alignment horizontal="center"/>
    </xf>
    <xf numFmtId="0" fontId="22" fillId="0" borderId="0" xfId="0" applyFont="1" applyAlignment="1">
      <alignment vertical="top" wrapText="1"/>
    </xf>
    <xf numFmtId="0" fontId="54" fillId="10" borderId="33" xfId="290" applyFont="1" applyFill="1" applyBorder="1" applyAlignment="1">
      <alignment horizontal="center" vertical="center" wrapText="1"/>
    </xf>
    <xf numFmtId="0" fontId="54" fillId="10" borderId="34" xfId="290" applyFont="1" applyFill="1" applyBorder="1" applyAlignment="1">
      <alignment horizontal="center" vertical="center" wrapText="1"/>
    </xf>
    <xf numFmtId="0" fontId="51" fillId="0" borderId="8" xfId="290" applyFont="1" applyBorder="1" applyAlignment="1">
      <alignment horizontal="left" vertical="center"/>
    </xf>
    <xf numFmtId="0" fontId="51" fillId="0" borderId="0" xfId="290" applyFont="1" applyAlignment="1">
      <alignment horizontal="left" vertical="center"/>
    </xf>
    <xf numFmtId="267" fontId="51" fillId="0" borderId="0" xfId="290" applyNumberFormat="1" applyFont="1" applyAlignment="1">
      <alignment horizontal="left" vertical="center"/>
    </xf>
    <xf numFmtId="267" fontId="51" fillId="0" borderId="18" xfId="290" applyNumberFormat="1" applyFont="1" applyBorder="1" applyAlignment="1">
      <alignment horizontal="left" vertical="center"/>
    </xf>
    <xf numFmtId="268" fontId="51" fillId="0" borderId="0" xfId="290" applyNumberFormat="1" applyFont="1" applyAlignment="1">
      <alignment horizontal="left" vertical="center" wrapText="1"/>
    </xf>
    <xf numFmtId="268" fontId="51" fillId="0" borderId="18" xfId="290" applyNumberFormat="1" applyFont="1" applyBorder="1" applyAlignment="1">
      <alignment horizontal="left" vertical="center" wrapText="1"/>
    </xf>
    <xf numFmtId="268" fontId="51" fillId="0" borderId="0" xfId="290" applyNumberFormat="1" applyFont="1" applyAlignment="1">
      <alignment horizontal="left" vertical="center"/>
    </xf>
    <xf numFmtId="268" fontId="51" fillId="0" borderId="18" xfId="290" applyNumberFormat="1" applyFont="1" applyBorder="1" applyAlignment="1">
      <alignment horizontal="left" vertical="center"/>
    </xf>
    <xf numFmtId="259" fontId="25" fillId="0" borderId="0" xfId="290" applyNumberFormat="1" applyAlignment="1">
      <alignment horizontal="left" vertical="top"/>
    </xf>
    <xf numFmtId="259" fontId="25" fillId="0" borderId="18" xfId="290" applyNumberFormat="1" applyBorder="1" applyAlignment="1">
      <alignment horizontal="left" vertical="top"/>
    </xf>
    <xf numFmtId="0" fontId="25" fillId="0" borderId="167" xfId="289" applyBorder="1" applyAlignment="1">
      <alignment horizontal="center" vertical="top" wrapText="1"/>
    </xf>
    <xf numFmtId="0" fontId="25" fillId="0" borderId="0" xfId="289" applyAlignment="1">
      <alignment horizontal="center" vertical="top" wrapText="1"/>
    </xf>
    <xf numFmtId="0" fontId="25" fillId="0" borderId="173" xfId="289" applyBorder="1" applyAlignment="1">
      <alignment horizontal="center" vertical="top" wrapText="1"/>
    </xf>
    <xf numFmtId="0" fontId="25" fillId="12" borderId="167" xfId="289" applyFill="1" applyBorder="1" applyAlignment="1">
      <alignment horizontal="center" vertical="top" wrapText="1"/>
    </xf>
    <xf numFmtId="0" fontId="25" fillId="12" borderId="0" xfId="289" applyFill="1" applyAlignment="1">
      <alignment horizontal="center" vertical="top" wrapText="1"/>
    </xf>
    <xf numFmtId="0" fontId="25" fillId="12" borderId="173" xfId="289" applyFill="1" applyBorder="1" applyAlignment="1">
      <alignment horizontal="center" vertical="top" wrapText="1"/>
    </xf>
    <xf numFmtId="0" fontId="51" fillId="0" borderId="0" xfId="290" applyFont="1" applyAlignment="1">
      <alignment horizontal="justify" vertical="top" wrapText="1"/>
    </xf>
    <xf numFmtId="0" fontId="51" fillId="0" borderId="18" xfId="290" applyFont="1" applyBorder="1" applyAlignment="1">
      <alignment horizontal="justify" vertical="top" wrapText="1"/>
    </xf>
    <xf numFmtId="4" fontId="2" fillId="0" borderId="0" xfId="0" applyNumberFormat="1" applyFont="1" applyAlignment="1">
      <alignment horizontal="center" vertical="top" wrapText="1"/>
    </xf>
    <xf numFmtId="0" fontId="2" fillId="0" borderId="0" xfId="0" applyFont="1" applyAlignment="1">
      <alignment horizontal="center" vertical="top" wrapText="1"/>
    </xf>
    <xf numFmtId="0" fontId="54" fillId="0" borderId="12" xfId="290" applyFont="1" applyBorder="1" applyAlignment="1">
      <alignment horizontal="center" wrapText="1"/>
    </xf>
    <xf numFmtId="0" fontId="25" fillId="0" borderId="156" xfId="289" applyBorder="1" applyAlignment="1">
      <alignment horizontal="center" vertical="top" wrapText="1"/>
    </xf>
    <xf numFmtId="0" fontId="25" fillId="0" borderId="157" xfId="289" applyBorder="1" applyAlignment="1">
      <alignment horizontal="center" vertical="top" wrapText="1"/>
    </xf>
    <xf numFmtId="0" fontId="25" fillId="0" borderId="166" xfId="289" applyBorder="1" applyAlignment="1">
      <alignment horizontal="center" vertical="top" wrapText="1"/>
    </xf>
    <xf numFmtId="0" fontId="25" fillId="0" borderId="155" xfId="289" applyBorder="1" applyAlignment="1">
      <alignment horizontal="center" vertical="top" wrapText="1"/>
    </xf>
    <xf numFmtId="0" fontId="25" fillId="0" borderId="158" xfId="289" applyBorder="1" applyAlignment="1">
      <alignment horizontal="center" vertical="top" wrapText="1"/>
    </xf>
    <xf numFmtId="0" fontId="25" fillId="0" borderId="168" xfId="289" applyBorder="1" applyAlignment="1">
      <alignment horizontal="center" vertical="top" wrapText="1"/>
    </xf>
    <xf numFmtId="0" fontId="25" fillId="0" borderId="159" xfId="289" applyBorder="1" applyAlignment="1">
      <alignment horizontal="center" vertical="top" wrapText="1"/>
    </xf>
    <xf numFmtId="0" fontId="25" fillId="0" borderId="160" xfId="289" applyBorder="1" applyAlignment="1">
      <alignment horizontal="center" vertical="top" wrapText="1"/>
    </xf>
    <xf numFmtId="0" fontId="25" fillId="0" borderId="169" xfId="289" applyBorder="1" applyAlignment="1">
      <alignment horizontal="center" vertical="top" wrapText="1"/>
    </xf>
    <xf numFmtId="269" fontId="25" fillId="0" borderId="159" xfId="289" applyNumberFormat="1" applyBorder="1" applyAlignment="1">
      <alignment horizontal="center" vertical="top" wrapText="1"/>
    </xf>
    <xf numFmtId="269" fontId="25" fillId="0" borderId="160" xfId="289" applyNumberFormat="1" applyBorder="1" applyAlignment="1">
      <alignment horizontal="center" vertical="top" wrapText="1"/>
    </xf>
    <xf numFmtId="269" fontId="25" fillId="0" borderId="169" xfId="289" applyNumberFormat="1" applyBorder="1" applyAlignment="1">
      <alignment horizontal="center" vertical="top" wrapText="1"/>
    </xf>
    <xf numFmtId="269" fontId="25" fillId="0" borderId="163" xfId="289" applyNumberFormat="1" applyBorder="1" applyAlignment="1">
      <alignment horizontal="center" vertical="top" wrapText="1"/>
    </xf>
    <xf numFmtId="269" fontId="25" fillId="0" borderId="164" xfId="289" applyNumberFormat="1" applyBorder="1" applyAlignment="1">
      <alignment horizontal="center" vertical="top" wrapText="1"/>
    </xf>
    <xf numFmtId="269" fontId="25" fillId="0" borderId="170" xfId="289" applyNumberFormat="1" applyBorder="1" applyAlignment="1">
      <alignment horizontal="center" vertical="top" wrapText="1"/>
    </xf>
    <xf numFmtId="0" fontId="25" fillId="0" borderId="163" xfId="289" applyBorder="1" applyAlignment="1">
      <alignment vertical="top" wrapText="1"/>
    </xf>
    <xf numFmtId="0" fontId="25" fillId="0" borderId="164" xfId="289" applyBorder="1" applyAlignment="1">
      <alignment vertical="top" wrapText="1"/>
    </xf>
    <xf numFmtId="0" fontId="25" fillId="0" borderId="156" xfId="289" applyBorder="1" applyAlignment="1">
      <alignment vertical="top" wrapText="1"/>
    </xf>
    <xf numFmtId="0" fontId="25" fillId="0" borderId="157" xfId="289" applyBorder="1" applyAlignment="1">
      <alignment vertical="top" wrapText="1"/>
    </xf>
    <xf numFmtId="0" fontId="25" fillId="12" borderId="163" xfId="289" applyFill="1" applyBorder="1" applyAlignment="1">
      <alignment horizontal="center" vertical="top" wrapText="1"/>
    </xf>
    <xf numFmtId="0" fontId="25" fillId="12" borderId="164" xfId="289" applyFill="1" applyBorder="1" applyAlignment="1">
      <alignment horizontal="center" vertical="top" wrapText="1"/>
    </xf>
    <xf numFmtId="0" fontId="25" fillId="12" borderId="170" xfId="289" applyFill="1" applyBorder="1" applyAlignment="1">
      <alignment horizontal="center" vertical="top" wrapText="1"/>
    </xf>
    <xf numFmtId="4" fontId="2" fillId="0" borderId="0" xfId="0" applyNumberFormat="1" applyFont="1" applyAlignment="1">
      <alignment horizontal="center" vertical="top"/>
    </xf>
    <xf numFmtId="0" fontId="13" fillId="0" borderId="0" xfId="0" applyFont="1" applyAlignment="1">
      <alignment horizontal="center" vertical="top"/>
    </xf>
    <xf numFmtId="4" fontId="14" fillId="0" borderId="0" xfId="0" applyNumberFormat="1" applyFont="1" applyAlignment="1">
      <alignment horizontal="center" vertical="top"/>
    </xf>
    <xf numFmtId="0" fontId="2" fillId="0" borderId="0" xfId="0" applyFont="1" applyAlignment="1">
      <alignment horizontal="center" vertical="top"/>
    </xf>
    <xf numFmtId="0" fontId="51" fillId="0" borderId="12" xfId="290" applyFont="1" applyBorder="1" applyAlignment="1">
      <alignment horizontal="left" vertical="top" wrapText="1"/>
    </xf>
    <xf numFmtId="0" fontId="51" fillId="0" borderId="13" xfId="290" applyFont="1" applyBorder="1" applyAlignment="1">
      <alignment horizontal="left" vertical="top" wrapText="1"/>
    </xf>
    <xf numFmtId="0" fontId="36" fillId="11" borderId="153" xfId="289" applyFont="1" applyFill="1" applyBorder="1" applyAlignment="1">
      <alignment horizontal="center" vertical="top"/>
    </xf>
    <xf numFmtId="0" fontId="36" fillId="11" borderId="154" xfId="289" applyFont="1" applyFill="1" applyBorder="1" applyAlignment="1">
      <alignment horizontal="center" vertical="top"/>
    </xf>
    <xf numFmtId="0" fontId="36" fillId="11" borderId="165" xfId="289" applyFont="1" applyFill="1" applyBorder="1" applyAlignment="1">
      <alignment horizontal="center" vertical="top"/>
    </xf>
    <xf numFmtId="0" fontId="36" fillId="11" borderId="156" xfId="289" applyFont="1" applyFill="1" applyBorder="1" applyAlignment="1">
      <alignment horizontal="center" vertical="top"/>
    </xf>
    <xf numFmtId="0" fontId="36" fillId="11" borderId="157" xfId="289" applyFont="1" applyFill="1" applyBorder="1" applyAlignment="1">
      <alignment horizontal="center" vertical="top"/>
    </xf>
    <xf numFmtId="0" fontId="36" fillId="11" borderId="166" xfId="289" applyFont="1" applyFill="1" applyBorder="1" applyAlignment="1">
      <alignment horizontal="center" vertical="top"/>
    </xf>
    <xf numFmtId="0" fontId="22" fillId="0" borderId="12" xfId="0" applyFont="1" applyBorder="1" applyAlignment="1">
      <alignment horizontal="justify" vertical="top" wrapText="1"/>
    </xf>
    <xf numFmtId="0" fontId="2" fillId="0" borderId="0" xfId="0" applyFont="1" applyAlignment="1">
      <alignment horizontal="justify" vertical="top"/>
    </xf>
    <xf numFmtId="0" fontId="2" fillId="0" borderId="35" xfId="0" applyFont="1" applyBorder="1" applyAlignment="1">
      <alignment horizontal="center" vertical="center"/>
    </xf>
    <xf numFmtId="0" fontId="2" fillId="0" borderId="35" xfId="0" applyFont="1" applyBorder="1" applyAlignment="1">
      <alignment vertical="top"/>
    </xf>
    <xf numFmtId="0" fontId="2" fillId="0" borderId="12" xfId="0" applyFont="1" applyBorder="1" applyAlignment="1">
      <alignment horizontal="justify" vertical="top" wrapText="1"/>
    </xf>
    <xf numFmtId="0" fontId="2" fillId="0" borderId="35" xfId="0" applyFont="1" applyBorder="1" applyAlignment="1">
      <alignment vertical="top" wrapText="1"/>
    </xf>
    <xf numFmtId="0" fontId="12" fillId="0" borderId="0" xfId="0" applyFont="1" applyAlignment="1">
      <alignment horizontal="center" vertical="top"/>
    </xf>
    <xf numFmtId="0" fontId="1" fillId="0" borderId="15" xfId="0" quotePrefix="1" applyFont="1" applyBorder="1" applyAlignment="1">
      <alignment horizontal="center" vertical="top"/>
    </xf>
    <xf numFmtId="0" fontId="1" fillId="0" borderId="0" xfId="0" applyFont="1" applyAlignment="1">
      <alignment horizontal="center" vertical="top"/>
    </xf>
    <xf numFmtId="0" fontId="1" fillId="0" borderId="18" xfId="0" applyFont="1" applyBorder="1" applyAlignment="1">
      <alignment horizontal="center" vertical="top"/>
    </xf>
    <xf numFmtId="0" fontId="1" fillId="0" borderId="15" xfId="0" quotePrefix="1" applyFont="1" applyBorder="1" applyAlignment="1">
      <alignment horizontal="left" vertical="top"/>
    </xf>
    <xf numFmtId="0" fontId="1" fillId="0" borderId="0" xfId="0" applyFont="1" applyAlignment="1">
      <alignment horizontal="left" vertical="top"/>
    </xf>
    <xf numFmtId="0" fontId="1" fillId="0" borderId="18" xfId="0" applyFont="1" applyBorder="1" applyAlignment="1">
      <alignment horizontal="left" vertical="top"/>
    </xf>
    <xf numFmtId="0" fontId="12" fillId="0" borderId="12" xfId="0" applyFont="1" applyBorder="1" applyAlignment="1">
      <alignment horizontal="center" vertical="top"/>
    </xf>
    <xf numFmtId="0" fontId="12" fillId="0" borderId="8" xfId="0" applyFont="1" applyBorder="1" applyAlignment="1">
      <alignment horizontal="center" vertical="top"/>
    </xf>
    <xf numFmtId="0" fontId="25" fillId="0" borderId="32" xfId="0" applyFont="1" applyBorder="1" applyAlignment="1">
      <alignment horizontal="center" vertical="top"/>
    </xf>
    <xf numFmtId="0" fontId="25" fillId="0" borderId="33" xfId="0" applyFont="1" applyBorder="1" applyAlignment="1">
      <alignment horizontal="center" vertical="top"/>
    </xf>
    <xf numFmtId="0" fontId="25" fillId="0" borderId="34" xfId="0" applyFont="1" applyBorder="1" applyAlignment="1">
      <alignment horizontal="center" vertical="top"/>
    </xf>
    <xf numFmtId="0" fontId="25" fillId="0" borderId="15" xfId="0" applyFont="1" applyBorder="1" applyAlignment="1">
      <alignment horizontal="center" vertical="top"/>
    </xf>
    <xf numFmtId="0" fontId="25" fillId="0" borderId="0" xfId="0" applyFont="1" applyAlignment="1">
      <alignment horizontal="center" vertical="top"/>
    </xf>
    <xf numFmtId="0" fontId="25" fillId="0" borderId="18" xfId="0" applyFont="1" applyBorder="1" applyAlignment="1">
      <alignment horizontal="center" vertical="top"/>
    </xf>
    <xf numFmtId="0" fontId="2" fillId="0" borderId="11" xfId="0" applyFont="1" applyBorder="1"/>
    <xf numFmtId="0" fontId="2" fillId="0" borderId="12" xfId="0" applyFont="1" applyBorder="1"/>
    <xf numFmtId="0" fontId="2" fillId="0" borderId="13" xfId="0" applyFont="1" applyBorder="1"/>
    <xf numFmtId="0" fontId="25" fillId="0" borderId="32" xfId="0" applyFont="1" applyBorder="1" applyAlignment="1">
      <alignment horizontal="center" vertical="top" wrapText="1"/>
    </xf>
    <xf numFmtId="0" fontId="25" fillId="0" borderId="33" xfId="0" applyFont="1" applyBorder="1" applyAlignment="1">
      <alignment horizontal="center" vertical="top" wrapText="1"/>
    </xf>
    <xf numFmtId="0" fontId="25" fillId="0" borderId="34" xfId="0" applyFont="1" applyBorder="1" applyAlignment="1">
      <alignment horizontal="center" vertical="top" wrapText="1"/>
    </xf>
    <xf numFmtId="0" fontId="1" fillId="0" borderId="15" xfId="0" quotePrefix="1"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0" fontId="19" fillId="0" borderId="0" xfId="0" applyFont="1" applyAlignment="1">
      <alignment horizontal="center" vertical="top" wrapText="1"/>
    </xf>
    <xf numFmtId="0" fontId="2" fillId="0" borderId="0" xfId="0" quotePrefix="1" applyFont="1" applyAlignment="1">
      <alignment vertical="top" wrapText="1"/>
    </xf>
    <xf numFmtId="0" fontId="1" fillId="0" borderId="15" xfId="0" applyFont="1" applyBorder="1" applyAlignment="1">
      <alignment horizontal="left" vertical="top"/>
    </xf>
    <xf numFmtId="0" fontId="2" fillId="0" borderId="110" xfId="314" applyFont="1" applyBorder="1" applyAlignment="1">
      <alignment horizontal="left" vertical="top" wrapText="1"/>
    </xf>
    <xf numFmtId="0" fontId="2" fillId="0" borderId="113" xfId="314" applyFont="1" applyBorder="1" applyAlignment="1">
      <alignment horizontal="left" vertical="top" wrapText="1"/>
    </xf>
    <xf numFmtId="0" fontId="2" fillId="0" borderId="109" xfId="314" applyFont="1" applyBorder="1" applyAlignment="1">
      <alignment horizontal="left" vertical="top" wrapText="1"/>
    </xf>
    <xf numFmtId="0" fontId="13" fillId="0" borderId="104" xfId="314" applyFont="1" applyBorder="1" applyAlignment="1">
      <alignment horizontal="left" vertical="top" wrapText="1"/>
    </xf>
    <xf numFmtId="0" fontId="13" fillId="0" borderId="88" xfId="314" applyFont="1" applyBorder="1" applyAlignment="1">
      <alignment horizontal="left" vertical="top" wrapText="1"/>
    </xf>
    <xf numFmtId="0" fontId="13" fillId="0" borderId="124" xfId="314" applyFont="1" applyBorder="1" applyAlignment="1">
      <alignment horizontal="left" vertical="top" wrapText="1"/>
    </xf>
    <xf numFmtId="0" fontId="2" fillId="0" borderId="97" xfId="314" applyFont="1" applyBorder="1" applyAlignment="1">
      <alignment horizontal="left" vertical="top" wrapText="1"/>
    </xf>
    <xf numFmtId="0" fontId="2" fillId="0" borderId="0" xfId="314" applyFont="1" applyAlignment="1">
      <alignment horizontal="left" vertical="top" wrapText="1"/>
    </xf>
    <xf numFmtId="0" fontId="2" fillId="0" borderId="125" xfId="314" applyFont="1" applyBorder="1" applyAlignment="1">
      <alignment horizontal="left" vertical="top" wrapText="1"/>
    </xf>
    <xf numFmtId="263" fontId="2" fillId="0" borderId="0" xfId="314" applyNumberFormat="1" applyFont="1" applyAlignment="1">
      <alignment horizontal="left"/>
    </xf>
    <xf numFmtId="0" fontId="2" fillId="0" borderId="0" xfId="314" applyFont="1" applyAlignment="1">
      <alignment horizontal="center"/>
    </xf>
    <xf numFmtId="0" fontId="13" fillId="0" borderId="0" xfId="303" applyFont="1" applyAlignment="1">
      <alignment horizontal="center"/>
    </xf>
    <xf numFmtId="0" fontId="25" fillId="0" borderId="56" xfId="0" applyFont="1" applyBorder="1" applyAlignment="1">
      <alignment horizontal="center" vertical="center"/>
    </xf>
    <xf numFmtId="0" fontId="25" fillId="0" borderId="0" xfId="0" applyFont="1"/>
    <xf numFmtId="0" fontId="25" fillId="0" borderId="0" xfId="0" quotePrefix="1" applyFont="1" applyAlignment="1">
      <alignment horizontal="left"/>
    </xf>
    <xf numFmtId="0" fontId="25" fillId="0" borderId="0" xfId="0" applyFont="1" applyAlignment="1">
      <alignment horizontal="left"/>
    </xf>
    <xf numFmtId="0" fontId="25" fillId="0" borderId="0" xfId="0" quotePrefix="1" applyFont="1" applyAlignment="1">
      <alignment horizontal="center"/>
    </xf>
    <xf numFmtId="0" fontId="25" fillId="0" borderId="0" xfId="0" applyFont="1" applyAlignment="1">
      <alignment horizontal="center"/>
    </xf>
    <xf numFmtId="0" fontId="25" fillId="0" borderId="59" xfId="0" applyFont="1" applyBorder="1"/>
    <xf numFmtId="0" fontId="2" fillId="0" borderId="110" xfId="314" applyFont="1" applyBorder="1" applyAlignment="1">
      <alignment vertical="top" wrapText="1"/>
    </xf>
    <xf numFmtId="0" fontId="2" fillId="0" borderId="113" xfId="314" applyFont="1" applyBorder="1" applyAlignment="1">
      <alignment vertical="top" wrapText="1"/>
    </xf>
    <xf numFmtId="0" fontId="2" fillId="0" borderId="0" xfId="314" applyFont="1" applyAlignment="1">
      <alignment horizontal="justify" vertical="top"/>
    </xf>
    <xf numFmtId="0" fontId="2" fillId="0" borderId="125" xfId="314" applyFont="1" applyBorder="1" applyAlignment="1">
      <alignment horizontal="justify" vertical="top"/>
    </xf>
    <xf numFmtId="0" fontId="2" fillId="0" borderId="0" xfId="314" applyFont="1" applyAlignment="1">
      <alignment horizontal="justify" vertical="top" wrapText="1"/>
    </xf>
    <xf numFmtId="0" fontId="2" fillId="0" borderId="125" xfId="314" applyFont="1" applyBorder="1" applyAlignment="1">
      <alignment horizontal="justify" vertical="top" wrapText="1"/>
    </xf>
    <xf numFmtId="0" fontId="43" fillId="4" borderId="79" xfId="314" applyFont="1" applyFill="1" applyBorder="1" applyAlignment="1">
      <alignment horizontal="center" vertical="center"/>
    </xf>
    <xf numFmtId="0" fontId="43" fillId="4" borderId="80" xfId="314" applyFont="1" applyFill="1" applyBorder="1" applyAlignment="1">
      <alignment horizontal="center" vertical="center"/>
    </xf>
    <xf numFmtId="0" fontId="43" fillId="4" borderId="83" xfId="314" applyFont="1" applyFill="1" applyBorder="1" applyAlignment="1">
      <alignment horizontal="center" vertical="center"/>
    </xf>
    <xf numFmtId="0" fontId="43" fillId="4" borderId="84" xfId="314" applyFont="1" applyFill="1" applyBorder="1" applyAlignment="1">
      <alignment horizontal="center" vertical="center"/>
    </xf>
    <xf numFmtId="0" fontId="2" fillId="0" borderId="104" xfId="314" applyFont="1" applyBorder="1" applyAlignment="1">
      <alignment horizontal="center" vertical="top"/>
    </xf>
    <xf numFmtId="0" fontId="2" fillId="0" borderId="145" xfId="314" applyFont="1" applyBorder="1" applyAlignment="1">
      <alignment horizontal="center" vertical="top"/>
    </xf>
    <xf numFmtId="0" fontId="2" fillId="0" borderId="100" xfId="314" applyFont="1" applyBorder="1" applyAlignment="1">
      <alignment horizontal="justify" vertical="top" wrapText="1"/>
    </xf>
    <xf numFmtId="0" fontId="2" fillId="0" borderId="101" xfId="314" applyFont="1" applyBorder="1" applyAlignment="1">
      <alignment horizontal="justify" vertical="top" wrapText="1"/>
    </xf>
    <xf numFmtId="0" fontId="2" fillId="0" borderId="143" xfId="314" applyFont="1" applyBorder="1" applyAlignment="1">
      <alignment horizontal="justify" vertical="top" wrapText="1"/>
    </xf>
    <xf numFmtId="0" fontId="2" fillId="0" borderId="97" xfId="314" applyFont="1" applyBorder="1" applyAlignment="1">
      <alignment horizontal="justify" vertical="top" wrapText="1"/>
    </xf>
    <xf numFmtId="0" fontId="2" fillId="0" borderId="146" xfId="314" applyFont="1" applyBorder="1" applyAlignment="1">
      <alignment horizontal="justify" vertical="top"/>
    </xf>
    <xf numFmtId="0" fontId="2" fillId="0" borderId="147" xfId="314" applyFont="1" applyBorder="1" applyAlignment="1">
      <alignment horizontal="justify" vertical="top"/>
    </xf>
    <xf numFmtId="0" fontId="13" fillId="0" borderId="55"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70" xfId="0" applyFont="1" applyBorder="1" applyAlignment="1">
      <alignment horizontal="center" vertical="center" wrapText="1"/>
    </xf>
    <xf numFmtId="0" fontId="2" fillId="0" borderId="28" xfId="0" applyFont="1" applyBorder="1" applyAlignment="1">
      <alignment horizontal="justify" vertical="top"/>
    </xf>
    <xf numFmtId="0" fontId="2" fillId="0" borderId="29" xfId="0" applyFont="1" applyBorder="1" applyAlignment="1">
      <alignment horizontal="justify" vertical="top"/>
    </xf>
    <xf numFmtId="254" fontId="2" fillId="0" borderId="24" xfId="0" applyNumberFormat="1" applyFont="1" applyBorder="1" applyAlignment="1">
      <alignment vertical="top" wrapText="1"/>
    </xf>
    <xf numFmtId="254" fontId="2" fillId="0" borderId="31" xfId="0" applyNumberFormat="1" applyFont="1" applyBorder="1" applyAlignment="1">
      <alignment vertical="top" wrapText="1"/>
    </xf>
    <xf numFmtId="0" fontId="2" fillId="0" borderId="55" xfId="0" applyFont="1" applyBorder="1" applyAlignment="1">
      <alignment vertical="top" wrapText="1"/>
    </xf>
    <xf numFmtId="0" fontId="2" fillId="0" borderId="56" xfId="0" applyFont="1" applyBorder="1" applyAlignment="1">
      <alignment vertical="top" wrapText="1"/>
    </xf>
    <xf numFmtId="0" fontId="13" fillId="0" borderId="50" xfId="0" applyFont="1" applyBorder="1" applyAlignment="1">
      <alignment horizontal="center" vertical="center"/>
    </xf>
    <xf numFmtId="0" fontId="13" fillId="0" borderId="57" xfId="0" applyFont="1" applyBorder="1" applyAlignment="1">
      <alignment horizontal="center" vertical="center"/>
    </xf>
    <xf numFmtId="0" fontId="13" fillId="0" borderId="54" xfId="0" applyFont="1" applyBorder="1" applyAlignment="1">
      <alignment horizontal="center" vertical="center"/>
    </xf>
    <xf numFmtId="0" fontId="13" fillId="0" borderId="61" xfId="0" applyFont="1" applyBorder="1" applyAlignment="1">
      <alignment horizontal="center" vertical="center"/>
    </xf>
    <xf numFmtId="0" fontId="13" fillId="0" borderId="71"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51"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2" fillId="0" borderId="68" xfId="0" applyFont="1" applyBorder="1" applyAlignment="1">
      <alignment vertical="top" wrapText="1"/>
    </xf>
    <xf numFmtId="0" fontId="2" fillId="0" borderId="69" xfId="0" applyFont="1" applyBorder="1" applyAlignment="1">
      <alignment vertical="top" wrapText="1"/>
    </xf>
    <xf numFmtId="0" fontId="24" fillId="0" borderId="0" xfId="0" applyFont="1" applyAlignment="1">
      <alignment vertical="top" wrapText="1"/>
    </xf>
    <xf numFmtId="0" fontId="14" fillId="0" borderId="0" xfId="0" applyFont="1" applyAlignment="1">
      <alignment horizontal="center" vertical="top"/>
    </xf>
    <xf numFmtId="254" fontId="2" fillId="0" borderId="21" xfId="0" applyNumberFormat="1" applyFont="1" applyBorder="1" applyAlignment="1">
      <alignment vertical="top" wrapText="1"/>
    </xf>
    <xf numFmtId="254" fontId="2" fillId="0" borderId="22" xfId="0" applyNumberFormat="1" applyFont="1" applyBorder="1" applyAlignment="1">
      <alignment vertical="top" wrapText="1"/>
    </xf>
    <xf numFmtId="259" fontId="2" fillId="0" borderId="0" xfId="0" applyNumberFormat="1" applyFont="1" applyAlignment="1">
      <alignment horizontal="left"/>
    </xf>
    <xf numFmtId="0" fontId="36" fillId="0" borderId="0" xfId="0" applyFont="1" applyAlignment="1">
      <alignment vertical="top" wrapText="1"/>
    </xf>
    <xf numFmtId="260" fontId="2" fillId="0" borderId="0" xfId="0" applyNumberFormat="1" applyFont="1" applyAlignment="1">
      <alignment horizontal="left"/>
    </xf>
    <xf numFmtId="261" fontId="2" fillId="0" borderId="0" xfId="0" applyNumberFormat="1" applyFont="1" applyAlignment="1">
      <alignment horizontal="justify" vertical="top"/>
    </xf>
    <xf numFmtId="252" fontId="2" fillId="0" borderId="0" xfId="0" applyNumberFormat="1" applyFont="1" applyAlignment="1">
      <alignment horizontal="justify" vertical="top" wrapText="1"/>
    </xf>
    <xf numFmtId="0" fontId="34" fillId="0" borderId="0" xfId="0" applyFont="1" applyAlignment="1">
      <alignment vertical="top" wrapText="1"/>
    </xf>
    <xf numFmtId="0" fontId="22" fillId="0" borderId="0" xfId="0" applyFont="1" applyAlignment="1">
      <alignment horizontal="justify" vertical="top"/>
    </xf>
    <xf numFmtId="0" fontId="22" fillId="0" borderId="12" xfId="0" applyFont="1" applyBorder="1" applyAlignment="1">
      <alignment horizontal="justify" vertical="top"/>
    </xf>
    <xf numFmtId="0" fontId="24" fillId="0" borderId="24" xfId="0" applyFont="1" applyBorder="1" applyAlignment="1">
      <alignment horizontal="center" vertical="center"/>
    </xf>
    <xf numFmtId="0" fontId="24" fillId="0" borderId="31" xfId="0" applyFont="1" applyBorder="1" applyAlignment="1">
      <alignment horizontal="center" vertical="center"/>
    </xf>
    <xf numFmtId="0" fontId="24" fillId="0" borderId="36" xfId="0" applyFont="1" applyBorder="1" applyAlignment="1">
      <alignment horizontal="center" vertical="center"/>
    </xf>
    <xf numFmtId="254" fontId="23" fillId="0" borderId="21" xfId="0" applyNumberFormat="1" applyFont="1" applyBorder="1" applyAlignment="1">
      <alignment vertical="top" wrapText="1"/>
    </xf>
    <xf numFmtId="254" fontId="23" fillId="0" borderId="22" xfId="0" applyNumberFormat="1" applyFont="1" applyBorder="1" applyAlignment="1">
      <alignment vertical="top" wrapText="1"/>
    </xf>
    <xf numFmtId="254" fontId="23" fillId="0" borderId="23" xfId="0" applyNumberFormat="1" applyFont="1" applyBorder="1" applyAlignment="1">
      <alignment vertical="top" wrapText="1"/>
    </xf>
    <xf numFmtId="254" fontId="23" fillId="0" borderId="26" xfId="0" applyNumberFormat="1" applyFont="1" applyBorder="1" applyAlignment="1">
      <alignment vertical="top" wrapText="1"/>
    </xf>
    <xf numFmtId="254" fontId="23" fillId="0" borderId="0" xfId="0" applyNumberFormat="1" applyFont="1" applyAlignment="1">
      <alignment vertical="top" wrapText="1"/>
    </xf>
    <xf numFmtId="254" fontId="23" fillId="0" borderId="38" xfId="0" applyNumberFormat="1" applyFont="1" applyBorder="1" applyAlignment="1">
      <alignment vertical="top" wrapText="1"/>
    </xf>
    <xf numFmtId="0" fontId="23" fillId="0" borderId="24" xfId="0" applyFont="1" applyBorder="1" applyAlignment="1">
      <alignment vertical="top"/>
    </xf>
    <xf numFmtId="0" fontId="23" fillId="0" borderId="31" xfId="0" applyFont="1" applyBorder="1" applyAlignment="1">
      <alignment vertical="top"/>
    </xf>
    <xf numFmtId="0" fontId="24" fillId="0" borderId="24" xfId="0" applyFont="1" applyBorder="1" applyAlignment="1">
      <alignment horizontal="center" vertical="center" wrapText="1"/>
    </xf>
    <xf numFmtId="0" fontId="24" fillId="0" borderId="36" xfId="0" applyFont="1" applyBorder="1" applyAlignment="1">
      <alignment horizontal="center" vertical="center" wrapText="1"/>
    </xf>
    <xf numFmtId="203" fontId="2" fillId="0" borderId="0" xfId="0" applyNumberFormat="1" applyFont="1" applyAlignment="1">
      <alignment horizontal="justify" vertical="top"/>
    </xf>
    <xf numFmtId="254" fontId="23" fillId="0" borderId="39" xfId="0" applyNumberFormat="1" applyFont="1" applyBorder="1" applyAlignment="1">
      <alignment vertical="top" wrapText="1"/>
    </xf>
    <xf numFmtId="254" fontId="23" fillId="0" borderId="45" xfId="0" applyNumberFormat="1" applyFont="1" applyBorder="1" applyAlignment="1">
      <alignment vertical="top" wrapText="1"/>
    </xf>
    <xf numFmtId="254" fontId="23" fillId="0" borderId="40" xfId="0" applyNumberFormat="1" applyFont="1" applyBorder="1" applyAlignment="1">
      <alignment vertical="top" wrapText="1"/>
    </xf>
    <xf numFmtId="254" fontId="23" fillId="0" borderId="41" xfId="0" applyNumberFormat="1" applyFont="1" applyBorder="1" applyAlignment="1">
      <alignment vertical="top" wrapText="1"/>
    </xf>
    <xf numFmtId="254" fontId="23" fillId="0" borderId="46" xfId="0" applyNumberFormat="1" applyFont="1" applyBorder="1" applyAlignment="1">
      <alignment vertical="top" wrapText="1"/>
    </xf>
    <xf numFmtId="254" fontId="23" fillId="0" borderId="42" xfId="0" applyNumberFormat="1" applyFont="1" applyBorder="1" applyAlignment="1">
      <alignment vertical="top" wrapText="1"/>
    </xf>
    <xf numFmtId="254" fontId="23" fillId="0" borderId="47" xfId="0" applyNumberFormat="1" applyFont="1" applyBorder="1" applyAlignment="1">
      <alignment vertical="top" wrapText="1"/>
    </xf>
    <xf numFmtId="254" fontId="23" fillId="0" borderId="49" xfId="0" applyNumberFormat="1" applyFont="1" applyBorder="1" applyAlignment="1">
      <alignment vertical="top" wrapText="1"/>
    </xf>
    <xf numFmtId="254" fontId="23" fillId="0" borderId="48" xfId="0" applyNumberFormat="1" applyFont="1" applyBorder="1" applyAlignment="1">
      <alignment vertical="top" wrapText="1"/>
    </xf>
    <xf numFmtId="3" fontId="2" fillId="0" borderId="0" xfId="0" applyNumberFormat="1" applyFont="1" applyAlignment="1">
      <alignment horizontal="center" vertical="top"/>
    </xf>
    <xf numFmtId="254" fontId="23" fillId="0" borderId="41" xfId="0" applyNumberFormat="1" applyFont="1" applyBorder="1" applyAlignment="1">
      <alignment horizontal="center" vertical="top" wrapText="1"/>
    </xf>
    <xf numFmtId="254" fontId="23" fillId="0" borderId="42" xfId="0" applyNumberFormat="1" applyFont="1" applyBorder="1" applyAlignment="1">
      <alignment horizontal="center" vertical="top" wrapText="1"/>
    </xf>
    <xf numFmtId="254" fontId="23" fillId="0" borderId="28" xfId="0" applyNumberFormat="1" applyFont="1" applyBorder="1" applyAlignment="1">
      <alignment vertical="top" wrapText="1"/>
    </xf>
    <xf numFmtId="254" fontId="23" fillId="0" borderId="29" xfId="0" applyNumberFormat="1" applyFont="1" applyBorder="1" applyAlignment="1">
      <alignment vertical="top" wrapText="1"/>
    </xf>
    <xf numFmtId="254" fontId="23" fillId="0" borderId="44" xfId="0" applyNumberFormat="1" applyFont="1" applyBorder="1" applyAlignment="1">
      <alignment vertical="top" wrapText="1"/>
    </xf>
    <xf numFmtId="203" fontId="2" fillId="0" borderId="0" xfId="0" applyNumberFormat="1" applyFont="1" applyAlignment="1">
      <alignment horizontal="justify"/>
    </xf>
    <xf numFmtId="0" fontId="22" fillId="0" borderId="217" xfId="0" applyFont="1" applyBorder="1" applyAlignment="1">
      <alignment vertical="top" wrapText="1"/>
    </xf>
    <xf numFmtId="0" fontId="12" fillId="0" borderId="0" xfId="0" quotePrefix="1" applyFont="1" applyAlignment="1">
      <alignment horizontal="justify" vertical="top"/>
    </xf>
    <xf numFmtId="0" fontId="25" fillId="0" borderId="0" xfId="0" applyFont="1" applyAlignment="1">
      <alignment horizontal="justify" vertical="top"/>
    </xf>
    <xf numFmtId="203" fontId="2" fillId="0" borderId="0" xfId="0" applyNumberFormat="1" applyFont="1" applyAlignment="1">
      <alignment horizontal="center"/>
    </xf>
    <xf numFmtId="0" fontId="25" fillId="0" borderId="0" xfId="0" applyFont="1" applyAlignment="1">
      <alignment horizontal="left" vertical="top" wrapText="1"/>
    </xf>
    <xf numFmtId="0" fontId="25" fillId="0" borderId="0" xfId="0" applyFont="1" applyAlignment="1">
      <alignment vertical="top" wrapText="1"/>
    </xf>
    <xf numFmtId="0" fontId="2" fillId="0" borderId="0" xfId="0" quotePrefix="1" applyFont="1" applyAlignment="1">
      <alignment horizontal="center" vertical="top"/>
    </xf>
    <xf numFmtId="0" fontId="14" fillId="0" borderId="0" xfId="0" quotePrefix="1" applyFont="1" applyAlignment="1">
      <alignment horizontal="center" vertical="top"/>
    </xf>
    <xf numFmtId="203" fontId="14" fillId="0" borderId="0" xfId="0" applyNumberFormat="1" applyFont="1" applyAlignment="1">
      <alignment horizontal="center"/>
    </xf>
    <xf numFmtId="0" fontId="228" fillId="0" borderId="0" xfId="0" applyFont="1" applyAlignment="1">
      <alignment horizontal="center" vertical="center" shrinkToFit="1"/>
    </xf>
    <xf numFmtId="256" fontId="2" fillId="0" borderId="0" xfId="0" applyNumberFormat="1" applyFont="1" applyAlignment="1">
      <alignment horizontal="left"/>
    </xf>
    <xf numFmtId="0" fontId="25" fillId="0" borderId="7" xfId="0" applyFont="1" applyBorder="1" applyAlignment="1">
      <alignment horizontal="center" vertical="top"/>
    </xf>
    <xf numFmtId="0" fontId="25" fillId="0" borderId="8" xfId="0" applyFont="1" applyBorder="1" applyAlignment="1">
      <alignment horizontal="center" vertical="top"/>
    </xf>
    <xf numFmtId="0" fontId="25" fillId="0" borderId="9" xfId="0" applyFont="1" applyBorder="1" applyAlignment="1">
      <alignment horizontal="center" vertical="top"/>
    </xf>
    <xf numFmtId="0" fontId="31" fillId="0" borderId="0" xfId="0" applyFont="1" applyAlignment="1">
      <alignment horizontal="center" vertical="top" wrapText="1"/>
    </xf>
    <xf numFmtId="0" fontId="12" fillId="0" borderId="35" xfId="0" applyFont="1" applyBorder="1" applyAlignment="1">
      <alignment horizontal="center" vertical="top"/>
    </xf>
    <xf numFmtId="0" fontId="12" fillId="0" borderId="32" xfId="0" applyFont="1" applyBorder="1" applyAlignment="1">
      <alignment horizontal="center" vertical="top"/>
    </xf>
    <xf numFmtId="0" fontId="12" fillId="0" borderId="33" xfId="0" applyFont="1" applyBorder="1" applyAlignment="1">
      <alignment horizontal="center" vertical="top"/>
    </xf>
    <xf numFmtId="0" fontId="12" fillId="0" borderId="34" xfId="0" applyFont="1" applyBorder="1" applyAlignment="1">
      <alignment horizontal="center" vertical="top"/>
    </xf>
    <xf numFmtId="0" fontId="12" fillId="0" borderId="8" xfId="0" applyFont="1" applyBorder="1" applyAlignment="1">
      <alignment vertical="top" wrapText="1"/>
    </xf>
    <xf numFmtId="0" fontId="12" fillId="0" borderId="33" xfId="0" applyFont="1" applyBorder="1" applyAlignment="1">
      <alignment vertical="top" wrapText="1"/>
    </xf>
    <xf numFmtId="0" fontId="230" fillId="0" borderId="0" xfId="0" applyFont="1" applyAlignment="1">
      <alignment horizontal="justify" vertical="top"/>
    </xf>
    <xf numFmtId="0" fontId="27" fillId="0" borderId="0" xfId="0" applyFont="1" applyAlignment="1">
      <alignment horizontal="center" vertical="top"/>
    </xf>
    <xf numFmtId="0" fontId="25" fillId="0" borderId="0" xfId="0" applyFont="1" applyAlignment="1">
      <alignment horizontal="justify" vertical="top" wrapText="1"/>
    </xf>
    <xf numFmtId="0" fontId="25" fillId="0" borderId="0" xfId="0" applyFont="1" applyAlignment="1">
      <alignment horizontal="left" vertical="top"/>
    </xf>
    <xf numFmtId="0" fontId="25" fillId="0" borderId="0" xfId="0" quotePrefix="1" applyFont="1" applyAlignment="1">
      <alignment horizontal="justify" vertical="top" wrapText="1"/>
    </xf>
    <xf numFmtId="0" fontId="25" fillId="0" borderId="0" xfId="0" applyFont="1" applyAlignment="1">
      <alignment vertical="top"/>
    </xf>
    <xf numFmtId="0" fontId="225" fillId="0" borderId="0" xfId="0" applyFont="1" applyAlignment="1">
      <alignment horizontal="center" vertical="top"/>
    </xf>
    <xf numFmtId="262" fontId="233" fillId="0" borderId="0" xfId="0" applyNumberFormat="1" applyFont="1" applyAlignment="1">
      <alignment horizontal="left" vertical="top"/>
    </xf>
    <xf numFmtId="260" fontId="233" fillId="0" borderId="0" xfId="0" applyNumberFormat="1" applyFont="1" applyAlignment="1">
      <alignment horizontal="left" vertical="top"/>
    </xf>
    <xf numFmtId="275" fontId="233" fillId="0" borderId="0" xfId="0" applyNumberFormat="1" applyFont="1" applyAlignment="1">
      <alignment horizontal="left" vertical="top"/>
    </xf>
    <xf numFmtId="0" fontId="233" fillId="0" borderId="0" xfId="0" quotePrefix="1" applyFont="1" applyAlignment="1">
      <alignment vertical="top"/>
    </xf>
    <xf numFmtId="0" fontId="233" fillId="0" borderId="0" xfId="0" applyFont="1" applyAlignment="1">
      <alignment vertical="top" wrapText="1"/>
    </xf>
    <xf numFmtId="0" fontId="233" fillId="0" borderId="0" xfId="0" applyFont="1" applyAlignment="1">
      <alignment vertical="top"/>
    </xf>
    <xf numFmtId="0" fontId="2" fillId="0" borderId="21" xfId="0" applyFont="1" applyBorder="1" applyAlignment="1">
      <alignment horizontal="justify" vertical="top"/>
    </xf>
    <xf numFmtId="0" fontId="2" fillId="0" borderId="22" xfId="0" applyFont="1" applyBorder="1" applyAlignment="1">
      <alignment horizontal="justify" vertical="top"/>
    </xf>
    <xf numFmtId="254" fontId="2" fillId="0" borderId="26" xfId="0" applyNumberFormat="1" applyFont="1" applyBorder="1" applyAlignment="1">
      <alignment vertical="top" wrapText="1"/>
    </xf>
    <xf numFmtId="254" fontId="2" fillId="0" borderId="0" xfId="0" applyNumberFormat="1" applyFont="1" applyAlignment="1">
      <alignment vertical="top" wrapText="1"/>
    </xf>
    <xf numFmtId="0" fontId="24" fillId="0" borderId="22" xfId="0" applyFont="1" applyBorder="1" applyAlignment="1">
      <alignment vertical="top" wrapText="1"/>
    </xf>
    <xf numFmtId="254" fontId="2" fillId="0" borderId="28" xfId="0" applyNumberFormat="1" applyFont="1" applyBorder="1" applyAlignment="1">
      <alignment vertical="top" wrapText="1"/>
    </xf>
    <xf numFmtId="254" fontId="2" fillId="0" borderId="29" xfId="0" applyNumberFormat="1" applyFont="1" applyBorder="1" applyAlignment="1">
      <alignment vertical="top" wrapText="1"/>
    </xf>
    <xf numFmtId="0" fontId="18" fillId="0" borderId="0" xfId="0" applyFont="1" applyAlignment="1">
      <alignment horizontal="center" vertical="top"/>
    </xf>
    <xf numFmtId="0" fontId="13" fillId="0" borderId="0" xfId="0" applyFont="1" applyAlignment="1">
      <alignment horizontal="justify" vertical="top" wrapText="1"/>
    </xf>
    <xf numFmtId="251" fontId="2" fillId="0" borderId="0" xfId="0" applyNumberFormat="1" applyFont="1" applyAlignment="1">
      <alignment horizontal="left" vertical="top"/>
    </xf>
    <xf numFmtId="0" fontId="2" fillId="0" borderId="0" xfId="0" applyFont="1" applyAlignment="1">
      <alignment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4" fillId="0" borderId="18" xfId="0" applyFont="1" applyBorder="1" applyAlignment="1">
      <alignment horizontal="center" vertical="center" shrinkToFit="1"/>
    </xf>
    <xf numFmtId="0" fontId="5" fillId="0" borderId="19" xfId="0" applyFont="1" applyBorder="1" applyAlignment="1">
      <alignment horizontal="center" vertical="top"/>
    </xf>
    <xf numFmtId="0" fontId="7" fillId="0" borderId="15" xfId="0" applyFont="1" applyBorder="1" applyAlignment="1">
      <alignment horizontal="center" vertical="top"/>
    </xf>
    <xf numFmtId="0" fontId="7" fillId="0" borderId="0" xfId="0" applyFont="1" applyAlignment="1">
      <alignment horizontal="center" vertical="top"/>
    </xf>
    <xf numFmtId="0" fontId="7" fillId="0" borderId="18" xfId="0" applyFont="1" applyBorder="1" applyAlignment="1">
      <alignment horizontal="center" vertical="top"/>
    </xf>
    <xf numFmtId="0" fontId="8" fillId="0" borderId="11" xfId="0" applyFont="1" applyBorder="1" applyAlignment="1">
      <alignment horizontal="center" vertical="top"/>
    </xf>
    <xf numFmtId="0" fontId="8" fillId="0" borderId="12" xfId="0" applyFont="1" applyBorder="1" applyAlignment="1">
      <alignment horizontal="center" vertical="top"/>
    </xf>
    <xf numFmtId="0" fontId="8" fillId="0" borderId="13" xfId="0" applyFont="1" applyBorder="1" applyAlignment="1">
      <alignment horizontal="center" vertical="top"/>
    </xf>
    <xf numFmtId="0" fontId="11" fillId="0" borderId="15" xfId="0" applyFont="1" applyBorder="1" applyAlignment="1">
      <alignment horizontal="center" vertical="top" wrapText="1"/>
    </xf>
    <xf numFmtId="0" fontId="11" fillId="0" borderId="0" xfId="0" applyFont="1" applyAlignment="1">
      <alignment horizontal="center" vertical="top" wrapText="1"/>
    </xf>
    <xf numFmtId="0" fontId="11" fillId="0" borderId="18" xfId="0" applyFont="1" applyBorder="1" applyAlignment="1">
      <alignment horizontal="center" vertical="top" wrapText="1"/>
    </xf>
    <xf numFmtId="0" fontId="9" fillId="0" borderId="15" xfId="0" applyFont="1" applyBorder="1" applyAlignment="1">
      <alignment horizontal="center" vertical="top"/>
    </xf>
    <xf numFmtId="0" fontId="9" fillId="0" borderId="0" xfId="0" applyFont="1" applyAlignment="1">
      <alignment horizontal="center" vertical="top"/>
    </xf>
    <xf numFmtId="0" fontId="9" fillId="0" borderId="18" xfId="0" applyFont="1" applyBorder="1" applyAlignment="1">
      <alignment horizontal="center" vertical="top"/>
    </xf>
    <xf numFmtId="0" fontId="9" fillId="0" borderId="7" xfId="0" applyFont="1" applyBorder="1" applyAlignment="1">
      <alignment horizontal="center" vertical="top"/>
    </xf>
    <xf numFmtId="0" fontId="9" fillId="0" borderId="8" xfId="0" applyFont="1" applyBorder="1" applyAlignment="1">
      <alignment horizontal="center" vertical="top"/>
    </xf>
    <xf numFmtId="0" fontId="9" fillId="0" borderId="9" xfId="0" applyFont="1" applyBorder="1" applyAlignment="1">
      <alignment horizontal="center" vertical="top"/>
    </xf>
  </cellXfs>
  <cellStyles count="412">
    <cellStyle name="?? [0]" xfId="5" xr:uid="{00000000-0005-0000-0000-000031000000}"/>
    <cellStyle name="???? [0.00]_PRODUCT DETAIL Q1" xfId="6" xr:uid="{00000000-0005-0000-0000-000032000000}"/>
    <cellStyle name="????_PRODUCT DETAIL Q1" xfId="7" xr:uid="{00000000-0005-0000-0000-000033000000}"/>
    <cellStyle name="???[0]_Book1" xfId="8" xr:uid="{00000000-0005-0000-0000-000034000000}"/>
    <cellStyle name="???_95" xfId="9" xr:uid="{00000000-0005-0000-0000-000035000000}"/>
    <cellStyle name="_ALAT-BU-SPP-CIPUTARA" xfId="10" xr:uid="{00000000-0005-0000-0000-000036000000}"/>
    <cellStyle name="_ALAT-BU-SPP-CIPUTARA_1" xfId="11" xr:uid="{00000000-0005-0000-0000-000037000000}"/>
    <cellStyle name="_ALAT-BU-SPP-CIPUTARA-ok_1" xfId="12" xr:uid="{00000000-0005-0000-0000-000038000000}"/>
    <cellStyle name="_BQ HOTEL SUTAN RAJA TENDER" xfId="13" xr:uid="{00000000-0005-0000-0000-000039000000}"/>
    <cellStyle name="_BQ+Hit. SDA (24072007)" xfId="14" xr:uid="{00000000-0005-0000-0000-00003A000000}"/>
    <cellStyle name="‡ - Style1" xfId="15" xr:uid="{00000000-0005-0000-0000-00003B000000}"/>
    <cellStyle name="‡_BOOK1" xfId="16" xr:uid="{00000000-0005-0000-0000-00003C000000}"/>
    <cellStyle name="‡_STA-DRP" xfId="17" xr:uid="{00000000-0005-0000-0000-00003D000000}"/>
    <cellStyle name="•W?_Approv.ppt" xfId="18" xr:uid="{00000000-0005-0000-0000-00003E000000}"/>
    <cellStyle name="00+000" xfId="19" xr:uid="{00000000-0005-0000-0000-00003F000000}"/>
    <cellStyle name="0-000" xfId="20" xr:uid="{00000000-0005-0000-0000-000040000000}"/>
    <cellStyle name="¹éºÐÀ²_±âÅ¸" xfId="21" xr:uid="{00000000-0005-0000-0000-000041000000}"/>
    <cellStyle name="20% - Accent1 10" xfId="22" xr:uid="{00000000-0005-0000-0000-000042000000}"/>
    <cellStyle name="20% - Accent1 2" xfId="23" xr:uid="{00000000-0005-0000-0000-000043000000}"/>
    <cellStyle name="20% - Accent2 10" xfId="24" xr:uid="{00000000-0005-0000-0000-000044000000}"/>
    <cellStyle name="20% - Accent2 2" xfId="25" xr:uid="{00000000-0005-0000-0000-000045000000}"/>
    <cellStyle name="20% - Accent3 10" xfId="26" xr:uid="{00000000-0005-0000-0000-000046000000}"/>
    <cellStyle name="20% - Accent3 2" xfId="27" xr:uid="{00000000-0005-0000-0000-000047000000}"/>
    <cellStyle name="20% - Accent4 10" xfId="28" xr:uid="{00000000-0005-0000-0000-000048000000}"/>
    <cellStyle name="20% - Accent4 2" xfId="29" xr:uid="{00000000-0005-0000-0000-000049000000}"/>
    <cellStyle name="20% - Accent5 10" xfId="30" xr:uid="{00000000-0005-0000-0000-00004A000000}"/>
    <cellStyle name="20% - Accent5 2" xfId="31" xr:uid="{00000000-0005-0000-0000-00004B000000}"/>
    <cellStyle name="20% - Accent6 10" xfId="32" xr:uid="{00000000-0005-0000-0000-00004C000000}"/>
    <cellStyle name="20% - Accent6 2" xfId="33" xr:uid="{00000000-0005-0000-0000-00004D000000}"/>
    <cellStyle name="20% - Accent6 2 2" xfId="34" xr:uid="{00000000-0005-0000-0000-00004E000000}"/>
    <cellStyle name="40% - Accent1 10" xfId="35" xr:uid="{00000000-0005-0000-0000-00004F000000}"/>
    <cellStyle name="40% - Accent1 2" xfId="36" xr:uid="{00000000-0005-0000-0000-000050000000}"/>
    <cellStyle name="40% - Accent2 10" xfId="37" xr:uid="{00000000-0005-0000-0000-000051000000}"/>
    <cellStyle name="40% - Accent2 2" xfId="38" xr:uid="{00000000-0005-0000-0000-000052000000}"/>
    <cellStyle name="40% - Accent3 10" xfId="39" xr:uid="{00000000-0005-0000-0000-000053000000}"/>
    <cellStyle name="40% - Accent3 2" xfId="40" xr:uid="{00000000-0005-0000-0000-000054000000}"/>
    <cellStyle name="40% - Accent6 10" xfId="41" xr:uid="{00000000-0005-0000-0000-000055000000}"/>
    <cellStyle name="40% - Accent6 2" xfId="42" xr:uid="{00000000-0005-0000-0000-000056000000}"/>
    <cellStyle name="60% - Accent1 10" xfId="43" xr:uid="{00000000-0005-0000-0000-000057000000}"/>
    <cellStyle name="60% - Accent1 2" xfId="44" xr:uid="{00000000-0005-0000-0000-000058000000}"/>
    <cellStyle name="60% - Accent2 10" xfId="45" xr:uid="{00000000-0005-0000-0000-000059000000}"/>
    <cellStyle name="60% - Accent2 2" xfId="46" xr:uid="{00000000-0005-0000-0000-00005A000000}"/>
    <cellStyle name="60% - Accent3 10" xfId="47" xr:uid="{00000000-0005-0000-0000-00005B000000}"/>
    <cellStyle name="60% - Accent3 2" xfId="48" xr:uid="{00000000-0005-0000-0000-00005C000000}"/>
    <cellStyle name="60% - Accent4 10" xfId="49" xr:uid="{00000000-0005-0000-0000-00005D000000}"/>
    <cellStyle name="60% - Accent4 2" xfId="50" xr:uid="{00000000-0005-0000-0000-00005E000000}"/>
    <cellStyle name="60% - Accent5 10" xfId="51" xr:uid="{00000000-0005-0000-0000-00005F000000}"/>
    <cellStyle name="60% - Accent5 2" xfId="52" xr:uid="{00000000-0005-0000-0000-000060000000}"/>
    <cellStyle name="60% - Accent6 10" xfId="53" xr:uid="{00000000-0005-0000-0000-000061000000}"/>
    <cellStyle name="60% - Accent6 2" xfId="54" xr:uid="{00000000-0005-0000-0000-000062000000}"/>
    <cellStyle name="a" xfId="55" xr:uid="{00000000-0005-0000-0000-000063000000}"/>
    <cellStyle name="a 2" xfId="56" xr:uid="{00000000-0005-0000-0000-000064000000}"/>
    <cellStyle name="a_rab_raja_plasa_baturaja" xfId="57" xr:uid="{00000000-0005-0000-0000-000065000000}"/>
    <cellStyle name="acc-0" xfId="58" xr:uid="{00000000-0005-0000-0000-000066000000}"/>
    <cellStyle name="acc-2" xfId="59" xr:uid="{00000000-0005-0000-0000-000067000000}"/>
    <cellStyle name="Accent1 10" xfId="60" xr:uid="{00000000-0005-0000-0000-000068000000}"/>
    <cellStyle name="Accent1 2" xfId="61" xr:uid="{00000000-0005-0000-0000-000069000000}"/>
    <cellStyle name="Accent2 10" xfId="62" xr:uid="{00000000-0005-0000-0000-00006A000000}"/>
    <cellStyle name="Accent2 2" xfId="63" xr:uid="{00000000-0005-0000-0000-00006B000000}"/>
    <cellStyle name="Accent3 10" xfId="64" xr:uid="{00000000-0005-0000-0000-00006C000000}"/>
    <cellStyle name="Accent3 2" xfId="65" xr:uid="{00000000-0005-0000-0000-00006D000000}"/>
    <cellStyle name="Accent6 10" xfId="66" xr:uid="{00000000-0005-0000-0000-00006E000000}"/>
    <cellStyle name="Accent6 2" xfId="67" xr:uid="{00000000-0005-0000-0000-00006F000000}"/>
    <cellStyle name="adidia" xfId="68" xr:uid="{00000000-0005-0000-0000-000070000000}"/>
    <cellStyle name="ÅëÈ­ [0]_±âÅ¸" xfId="69" xr:uid="{00000000-0005-0000-0000-000071000000}"/>
    <cellStyle name="AeE­ [0]_INQUIRY ¿μ¾÷AßAø " xfId="70" xr:uid="{00000000-0005-0000-0000-000072000000}"/>
    <cellStyle name="ÅëÈ­_±âÅ¸" xfId="71" xr:uid="{00000000-0005-0000-0000-000073000000}"/>
    <cellStyle name="AeE­_INQUIRY ¿µ¾÷AßAø " xfId="72" xr:uid="{00000000-0005-0000-0000-000074000000}"/>
    <cellStyle name="args.style" xfId="73" xr:uid="{00000000-0005-0000-0000-000075000000}"/>
    <cellStyle name="Arial10" xfId="74" xr:uid="{00000000-0005-0000-0000-000076000000}"/>
    <cellStyle name="Arial10 2" xfId="75" xr:uid="{00000000-0005-0000-0000-000077000000}"/>
    <cellStyle name="ÄÞ¸¶ [0]_±âÅ¸" xfId="76" xr:uid="{00000000-0005-0000-0000-000078000000}"/>
    <cellStyle name="ÄÞ¸¶_±âÅ¸" xfId="77" xr:uid="{00000000-0005-0000-0000-000079000000}"/>
    <cellStyle name="AutoFormat Options" xfId="78" xr:uid="{00000000-0005-0000-0000-00007A000000}"/>
    <cellStyle name="Bad 10" xfId="79" xr:uid="{00000000-0005-0000-0000-00007B000000}"/>
    <cellStyle name="Bad 2" xfId="80" xr:uid="{00000000-0005-0000-0000-00007C000000}"/>
    <cellStyle name="Baik" xfId="81" xr:uid="{00000000-0005-0000-0000-00007D000000}"/>
    <cellStyle name="Body" xfId="82" xr:uid="{00000000-0005-0000-0000-00007E000000}"/>
    <cellStyle name="bol" xfId="83" xr:uid="{00000000-0005-0000-0000-00007F000000}"/>
    <cellStyle name="Bol 1" xfId="84" xr:uid="{00000000-0005-0000-0000-000080000000}"/>
    <cellStyle name="bol1" xfId="85" xr:uid="{00000000-0005-0000-0000-000081000000}"/>
    <cellStyle name="bottom" xfId="86" xr:uid="{00000000-0005-0000-0000-000082000000}"/>
    <cellStyle name="Bulan" xfId="87" xr:uid="{00000000-0005-0000-0000-000083000000}"/>
    <cellStyle name="c" xfId="88" xr:uid="{00000000-0005-0000-0000-000084000000}"/>
    <cellStyle name="C?AØ_¿?¾÷CoE² " xfId="89" xr:uid="{00000000-0005-0000-0000-000085000000}"/>
    <cellStyle name="Ç¥ÁØ_¿¬°£´©°è¿¹»ó" xfId="90" xr:uid="{00000000-0005-0000-0000-000086000000}"/>
    <cellStyle name="Calc Currency (0)" xfId="91" xr:uid="{00000000-0005-0000-0000-000087000000}"/>
    <cellStyle name="Calculation 10" xfId="92" xr:uid="{00000000-0005-0000-0000-000088000000}"/>
    <cellStyle name="Calculation 2" xfId="93" xr:uid="{00000000-0005-0000-0000-000089000000}"/>
    <cellStyle name="Catatan" xfId="94" xr:uid="{00000000-0005-0000-0000-00008A000000}"/>
    <cellStyle name="Cek Sel" xfId="95" xr:uid="{00000000-0005-0000-0000-00008B000000}"/>
    <cellStyle name="Check Cell 10" xfId="96" xr:uid="{00000000-0005-0000-0000-00008C000000}"/>
    <cellStyle name="Comma" xfId="1" builtinId="3"/>
    <cellStyle name="Comma  - Style1" xfId="97" xr:uid="{00000000-0005-0000-0000-00008D000000}"/>
    <cellStyle name="Comma  - Style1 2" xfId="98" xr:uid="{00000000-0005-0000-0000-00008E000000}"/>
    <cellStyle name="Comma []" xfId="99" xr:uid="{00000000-0005-0000-0000-00008F000000}"/>
    <cellStyle name="Comma [0]" xfId="3" builtinId="6"/>
    <cellStyle name="Comma [0] 10 10" xfId="100" xr:uid="{00000000-0005-0000-0000-000090000000}"/>
    <cellStyle name="Comma [0] 11" xfId="101" xr:uid="{00000000-0005-0000-0000-000091000000}"/>
    <cellStyle name="Comma [0] 12" xfId="102" xr:uid="{00000000-0005-0000-0000-000092000000}"/>
    <cellStyle name="Comma [0] 13 16" xfId="103" xr:uid="{00000000-0005-0000-0000-000093000000}"/>
    <cellStyle name="Comma [0] 13 2 2" xfId="104" xr:uid="{00000000-0005-0000-0000-000094000000}"/>
    <cellStyle name="Comma [0] 14" xfId="105" xr:uid="{00000000-0005-0000-0000-000095000000}"/>
    <cellStyle name="Comma [0] 14 10" xfId="106" xr:uid="{00000000-0005-0000-0000-000096000000}"/>
    <cellStyle name="Comma [0] 2 13" xfId="107" xr:uid="{00000000-0005-0000-0000-000097000000}"/>
    <cellStyle name="Comma [0] 2 2" xfId="108" xr:uid="{00000000-0005-0000-0000-000098000000}"/>
    <cellStyle name="Comma [0] 2 4 2" xfId="109" xr:uid="{00000000-0005-0000-0000-000099000000}"/>
    <cellStyle name="Comma [0] 22" xfId="110" xr:uid="{00000000-0005-0000-0000-00009A000000}"/>
    <cellStyle name="Comma [0] 3 2" xfId="111" xr:uid="{00000000-0005-0000-0000-00009B000000}"/>
    <cellStyle name="Comma [0] 3 2 3" xfId="112" xr:uid="{00000000-0005-0000-0000-00009C000000}"/>
    <cellStyle name="Comma [0] 4 10" xfId="113" xr:uid="{00000000-0005-0000-0000-00009D000000}"/>
    <cellStyle name="Comma [0] 4 14" xfId="114" xr:uid="{00000000-0005-0000-0000-00009E000000}"/>
    <cellStyle name="Comma [0] 4 2" xfId="115" xr:uid="{00000000-0005-0000-0000-00009F000000}"/>
    <cellStyle name="Comma [0] 5 16" xfId="116" xr:uid="{00000000-0005-0000-0000-0000A0000000}"/>
    <cellStyle name="Comma [0] 7 16" xfId="117" xr:uid="{00000000-0005-0000-0000-0000A1000000}"/>
    <cellStyle name="Comma [2]" xfId="118" xr:uid="{00000000-0005-0000-0000-0000A2000000}"/>
    <cellStyle name="Comma [3]" xfId="119" xr:uid="{00000000-0005-0000-0000-0000A3000000}"/>
    <cellStyle name="Comma 0" xfId="120" xr:uid="{00000000-0005-0000-0000-0000A4000000}"/>
    <cellStyle name="Comma 10" xfId="121" xr:uid="{00000000-0005-0000-0000-0000A5000000}"/>
    <cellStyle name="Comma 10 16" xfId="122" xr:uid="{00000000-0005-0000-0000-0000A6000000}"/>
    <cellStyle name="Comma 10 2" xfId="123" xr:uid="{00000000-0005-0000-0000-0000A7000000}"/>
    <cellStyle name="Comma 10 2 10" xfId="124" xr:uid="{00000000-0005-0000-0000-0000A8000000}"/>
    <cellStyle name="Comma 11 2 2" xfId="125" xr:uid="{00000000-0005-0000-0000-0000A9000000}"/>
    <cellStyle name="Comma 11 3" xfId="126" xr:uid="{00000000-0005-0000-0000-0000AA000000}"/>
    <cellStyle name="Comma 14 2 2" xfId="127" xr:uid="{00000000-0005-0000-0000-0000AB000000}"/>
    <cellStyle name="Comma 2 10 3" xfId="128" xr:uid="{00000000-0005-0000-0000-0000AC000000}"/>
    <cellStyle name="Comma 2 11" xfId="129" xr:uid="{00000000-0005-0000-0000-0000AD000000}"/>
    <cellStyle name="Comma 2 2" xfId="130" xr:uid="{00000000-0005-0000-0000-0000AE000000}"/>
    <cellStyle name="Comma 2 3 2" xfId="131" xr:uid="{00000000-0005-0000-0000-0000AF000000}"/>
    <cellStyle name="Comma 2 3 3" xfId="132" xr:uid="{00000000-0005-0000-0000-0000B0000000}"/>
    <cellStyle name="Comma 2 4 3" xfId="133" xr:uid="{00000000-0005-0000-0000-0000B1000000}"/>
    <cellStyle name="Comma 25" xfId="134" xr:uid="{00000000-0005-0000-0000-0000B2000000}"/>
    <cellStyle name="Comma 3 12" xfId="135" xr:uid="{00000000-0005-0000-0000-0000B3000000}"/>
    <cellStyle name="Comma 3 18" xfId="136" xr:uid="{00000000-0005-0000-0000-0000B4000000}"/>
    <cellStyle name="Comma 3 3 2" xfId="137" xr:uid="{00000000-0005-0000-0000-0000B5000000}"/>
    <cellStyle name="Comma 4" xfId="138" xr:uid="{00000000-0005-0000-0000-0000B6000000}"/>
    <cellStyle name="Comma 4 2" xfId="139" xr:uid="{00000000-0005-0000-0000-0000B7000000}"/>
    <cellStyle name="Comma 4 3 2" xfId="140" xr:uid="{00000000-0005-0000-0000-0000B8000000}"/>
    <cellStyle name="Comma 5" xfId="141" xr:uid="{00000000-0005-0000-0000-0000B9000000}"/>
    <cellStyle name="Comma 5 2 5" xfId="142" xr:uid="{00000000-0005-0000-0000-0000BA000000}"/>
    <cellStyle name="Comma 6" xfId="143" xr:uid="{00000000-0005-0000-0000-0000BB000000}"/>
    <cellStyle name="Comma 7" xfId="144" xr:uid="{00000000-0005-0000-0000-0000BC000000}"/>
    <cellStyle name="Comma 73" xfId="145" xr:uid="{00000000-0005-0000-0000-0000BD000000}"/>
    <cellStyle name="Comma 75" xfId="146" xr:uid="{00000000-0005-0000-0000-0000BE000000}"/>
    <cellStyle name="Comma 8 2 2" xfId="147" xr:uid="{00000000-0005-0000-0000-0000BF000000}"/>
    <cellStyle name="Comma(2)" xfId="148" xr:uid="{00000000-0005-0000-0000-0000C0000000}"/>
    <cellStyle name="Comma0" xfId="149" xr:uid="{00000000-0005-0000-0000-0000C1000000}"/>
    <cellStyle name="Copied" xfId="150" xr:uid="{00000000-0005-0000-0000-0000C2000000}"/>
    <cellStyle name="CSI" xfId="151" xr:uid="{00000000-0005-0000-0000-0000C3000000}"/>
    <cellStyle name="Currency [0] 10" xfId="152" xr:uid="{00000000-0005-0000-0000-0000C4000000}"/>
    <cellStyle name="Currency [0] 11" xfId="153" xr:uid="{00000000-0005-0000-0000-0000C5000000}"/>
    <cellStyle name="Currency [0] 11 2" xfId="154" xr:uid="{00000000-0005-0000-0000-0000C6000000}"/>
    <cellStyle name="Currency [0] 12" xfId="155" xr:uid="{00000000-0005-0000-0000-0000C7000000}"/>
    <cellStyle name="Currency [0] 2" xfId="156" xr:uid="{00000000-0005-0000-0000-0000C8000000}"/>
    <cellStyle name="Currency [0] 2 10" xfId="157" xr:uid="{00000000-0005-0000-0000-0000C9000000}"/>
    <cellStyle name="Currency [0] 2 2" xfId="158" xr:uid="{00000000-0005-0000-0000-0000CA000000}"/>
    <cellStyle name="Currency [0] 3 5" xfId="159" xr:uid="{00000000-0005-0000-0000-0000CB000000}"/>
    <cellStyle name="Currency [0] 5" xfId="160" xr:uid="{00000000-0005-0000-0000-0000CC000000}"/>
    <cellStyle name="Currency [0] 6" xfId="161" xr:uid="{00000000-0005-0000-0000-0000CD000000}"/>
    <cellStyle name="Currency [0] 9" xfId="162" xr:uid="{00000000-0005-0000-0000-0000CE000000}"/>
    <cellStyle name="Currency [1]" xfId="163" xr:uid="{00000000-0005-0000-0000-0000CF000000}"/>
    <cellStyle name="Currency [2]" xfId="164" xr:uid="{00000000-0005-0000-0000-0000D0000000}"/>
    <cellStyle name="Currency 2" xfId="165" xr:uid="{00000000-0005-0000-0000-0000D1000000}"/>
    <cellStyle name="Currency 2 2" xfId="166" xr:uid="{00000000-0005-0000-0000-0000D2000000}"/>
    <cellStyle name="Currency 4" xfId="167" xr:uid="{00000000-0005-0000-0000-0000D3000000}"/>
    <cellStyle name="Currency 5" xfId="168" xr:uid="{00000000-0005-0000-0000-0000D4000000}"/>
    <cellStyle name="Currency 7" xfId="169" xr:uid="{00000000-0005-0000-0000-0000D5000000}"/>
    <cellStyle name="Currency0" xfId="170" xr:uid="{00000000-0005-0000-0000-0000D6000000}"/>
    <cellStyle name="Custom" xfId="171" xr:uid="{00000000-0005-0000-0000-0000D7000000}"/>
    <cellStyle name="Custom - Style8" xfId="172" xr:uid="{00000000-0005-0000-0000-0000D8000000}"/>
    <cellStyle name="Data  " xfId="173" xr:uid="{00000000-0005-0000-0000-0000D9000000}"/>
    <cellStyle name="Data   - Style2" xfId="174" xr:uid="{00000000-0005-0000-0000-0000DA000000}"/>
    <cellStyle name="Date" xfId="175" xr:uid="{00000000-0005-0000-0000-0000DB000000}"/>
    <cellStyle name="Date [d-mmm-yy]" xfId="176" xr:uid="{00000000-0005-0000-0000-0000DC000000}"/>
    <cellStyle name="Date [mm-d-yy]" xfId="177" xr:uid="{00000000-0005-0000-0000-0000DD000000}"/>
    <cellStyle name="Date [mm-d-yyyy]" xfId="178" xr:uid="{00000000-0005-0000-0000-0000DE000000}"/>
    <cellStyle name="Date [mmm-yy]" xfId="179" xr:uid="{00000000-0005-0000-0000-0000DF000000}"/>
    <cellStyle name="Date_BENDUNG LHOK GUCI-FINAL-FI6" xfId="180" xr:uid="{00000000-0005-0000-0000-0000E0000000}"/>
    <cellStyle name="date1" xfId="181" xr:uid="{00000000-0005-0000-0000-0000E1000000}"/>
    <cellStyle name="date1 2" xfId="182" xr:uid="{00000000-0005-0000-0000-0000E2000000}"/>
    <cellStyle name="Description" xfId="183" xr:uid="{00000000-0005-0000-0000-0000E3000000}"/>
    <cellStyle name="Dezimal [0]_hcl-Tank (GB)" xfId="184" xr:uid="{00000000-0005-0000-0000-0000E4000000}"/>
    <cellStyle name="Dezimal_hcl-Tank (GB)" xfId="185" xr:uid="{00000000-0005-0000-0000-0000E5000000}"/>
    <cellStyle name="DUA" xfId="186" xr:uid="{00000000-0005-0000-0000-0000E6000000}"/>
    <cellStyle name="Emphasis 1" xfId="187" xr:uid="{00000000-0005-0000-0000-0000E7000000}"/>
    <cellStyle name="Emphasis 2" xfId="188" xr:uid="{00000000-0005-0000-0000-0000E8000000}"/>
    <cellStyle name="Entered" xfId="189" xr:uid="{00000000-0005-0000-0000-0000E9000000}"/>
    <cellStyle name="Euro" xfId="190" xr:uid="{00000000-0005-0000-0000-0000EA000000}"/>
    <cellStyle name="Euro 10" xfId="191" xr:uid="{00000000-0005-0000-0000-0000EB000000}"/>
    <cellStyle name="Excel Built-in Comma [0]" xfId="192" xr:uid="{00000000-0005-0000-0000-0000EC000000}"/>
    <cellStyle name="Excel_BuiltIn_Comma" xfId="193" xr:uid="{00000000-0005-0000-0000-0000ED000000}"/>
    <cellStyle name="Explanatory Text 10" xfId="194" xr:uid="{00000000-0005-0000-0000-0000EE000000}"/>
    <cellStyle name="Explanatory Text 2" xfId="195" xr:uid="{00000000-0005-0000-0000-0000EF000000}"/>
    <cellStyle name="F4" xfId="196" xr:uid="{00000000-0005-0000-0000-0000F0000000}"/>
    <cellStyle name="Fixed" xfId="197" xr:uid="{00000000-0005-0000-0000-0000F1000000}"/>
    <cellStyle name="Fixed [0]" xfId="198" xr:uid="{00000000-0005-0000-0000-0000F2000000}"/>
    <cellStyle name="Fixed_BENDUNG LHOK GUCI-FINAL-FI6" xfId="199" xr:uid="{00000000-0005-0000-0000-0000F3000000}"/>
    <cellStyle name="Foottitle" xfId="200" xr:uid="{00000000-0005-0000-0000-0000F4000000}"/>
    <cellStyle name="GENERAL" xfId="201" xr:uid="{00000000-0005-0000-0000-0000F5000000}"/>
    <cellStyle name="Good 10" xfId="202" xr:uid="{00000000-0005-0000-0000-0000F6000000}"/>
    <cellStyle name="Grey" xfId="203" xr:uid="{00000000-0005-0000-0000-0000F7000000}"/>
    <cellStyle name="GTT%" xfId="204" xr:uid="{00000000-0005-0000-0000-0000F8000000}"/>
    <cellStyle name="GTT% 2" xfId="205" xr:uid="{00000000-0005-0000-0000-0000F9000000}"/>
    <cellStyle name="header" xfId="206" xr:uid="{00000000-0005-0000-0000-0000FA000000}"/>
    <cellStyle name="Header - Style1" xfId="207" xr:uid="{00000000-0005-0000-0000-0000FB000000}"/>
    <cellStyle name="Header1" xfId="208" xr:uid="{00000000-0005-0000-0000-0000FC000000}"/>
    <cellStyle name="Header1 2" xfId="209" xr:uid="{00000000-0005-0000-0000-0000FD000000}"/>
    <cellStyle name="Header2" xfId="210" xr:uid="{00000000-0005-0000-0000-0000FE000000}"/>
    <cellStyle name="Header2 2" xfId="211" xr:uid="{00000000-0005-0000-0000-0000FF000000}"/>
    <cellStyle name="Heading" xfId="212" xr:uid="{00000000-0005-0000-0000-000000010000}"/>
    <cellStyle name="Heading 1 10" xfId="213" xr:uid="{00000000-0005-0000-0000-000001010000}"/>
    <cellStyle name="Heading 1 2" xfId="214" xr:uid="{00000000-0005-0000-0000-000002010000}"/>
    <cellStyle name="Heading 1 3" xfId="215" xr:uid="{00000000-0005-0000-0000-000003010000}"/>
    <cellStyle name="Heading 2 10" xfId="216" xr:uid="{00000000-0005-0000-0000-000004010000}"/>
    <cellStyle name="Heading 2 2" xfId="217" xr:uid="{00000000-0005-0000-0000-000005010000}"/>
    <cellStyle name="Heading 2 3" xfId="218" xr:uid="{00000000-0005-0000-0000-000006010000}"/>
    <cellStyle name="Heading 3 10" xfId="219" xr:uid="{00000000-0005-0000-0000-000007010000}"/>
    <cellStyle name="Heading 3 2" xfId="220" xr:uid="{00000000-0005-0000-0000-000008010000}"/>
    <cellStyle name="Heading 4 10" xfId="221" xr:uid="{00000000-0005-0000-0000-000009010000}"/>
    <cellStyle name="Heading 4 2" xfId="222" xr:uid="{00000000-0005-0000-0000-00000A010000}"/>
    <cellStyle name="Heading1" xfId="223" xr:uid="{00000000-0005-0000-0000-00000B010000}"/>
    <cellStyle name="Heading1 1" xfId="224" xr:uid="{00000000-0005-0000-0000-00000C010000}"/>
    <cellStyle name="HEADINGS" xfId="225" xr:uid="{00000000-0005-0000-0000-00000D010000}"/>
    <cellStyle name="HEADINGSTOP" xfId="226" xr:uid="{00000000-0005-0000-0000-00000E010000}"/>
    <cellStyle name="Hyperlink" xfId="4" builtinId="8"/>
    <cellStyle name="Hyperlink 2" xfId="227" xr:uid="{00000000-0005-0000-0000-00000F010000}"/>
    <cellStyle name="Hyperlink 2 2" xfId="228" xr:uid="{00000000-0005-0000-0000-000010010000}"/>
    <cellStyle name="ing" xfId="229" xr:uid="{00000000-0005-0000-0000-000011010000}"/>
    <cellStyle name="Input [yellow]" xfId="230" xr:uid="{00000000-0005-0000-0000-000012010000}"/>
    <cellStyle name="Input 10" xfId="231" xr:uid="{00000000-0005-0000-0000-000013010000}"/>
    <cellStyle name="Input 2" xfId="232" xr:uid="{00000000-0005-0000-0000-000014010000}"/>
    <cellStyle name="Input 3" xfId="233" xr:uid="{00000000-0005-0000-0000-000015010000}"/>
    <cellStyle name="Input Currency" xfId="234" xr:uid="{00000000-0005-0000-0000-000016010000}"/>
    <cellStyle name="Input Date" xfId="235" xr:uid="{00000000-0005-0000-0000-000017010000}"/>
    <cellStyle name="Input Fixed [0]" xfId="236" xr:uid="{00000000-0005-0000-0000-000018010000}"/>
    <cellStyle name="Input Normal" xfId="237" xr:uid="{00000000-0005-0000-0000-000019010000}"/>
    <cellStyle name="Input Percent" xfId="238" xr:uid="{00000000-0005-0000-0000-00001A010000}"/>
    <cellStyle name="Input Percent [2]" xfId="239" xr:uid="{00000000-0005-0000-0000-00001B010000}"/>
    <cellStyle name="Input Percent_Book1" xfId="240" xr:uid="{00000000-0005-0000-0000-00001C010000}"/>
    <cellStyle name="Input Titles" xfId="241" xr:uid="{00000000-0005-0000-0000-00001D010000}"/>
    <cellStyle name="Judul" xfId="242" xr:uid="{00000000-0005-0000-0000-00001E010000}"/>
    <cellStyle name="k" xfId="243" xr:uid="{00000000-0005-0000-0000-00001F010000}"/>
    <cellStyle name="k_BQ-Kontrak Utama (5)-radja" xfId="244" xr:uid="{00000000-0005-0000-0000-000020010000}"/>
    <cellStyle name="Keluaran" xfId="245" xr:uid="{00000000-0005-0000-0000-000021010000}"/>
    <cellStyle name="kop" xfId="246" xr:uid="{00000000-0005-0000-0000-000022010000}"/>
    <cellStyle name="L" xfId="247" xr:uid="{00000000-0005-0000-0000-000023010000}"/>
    <cellStyle name="L_BQ-Kontrak Utama (5)-radja" xfId="248" xr:uid="{00000000-0005-0000-0000-000024010000}"/>
    <cellStyle name="Labels" xfId="249" xr:uid="{00000000-0005-0000-0000-000025010000}"/>
    <cellStyle name="Labels - Style3" xfId="250" xr:uid="{00000000-0005-0000-0000-000026010000}"/>
    <cellStyle name="Length" xfId="251" xr:uid="{00000000-0005-0000-0000-000027010000}"/>
    <cellStyle name="Linked Cell 10" xfId="252" xr:uid="{00000000-0005-0000-0000-000028010000}"/>
    <cellStyle name="Linked Cell 2" xfId="253" xr:uid="{00000000-0005-0000-0000-000029010000}"/>
    <cellStyle name="lo" xfId="254" xr:uid="{00000000-0005-0000-0000-00002A010000}"/>
    <cellStyle name="m" xfId="255" xr:uid="{00000000-0005-0000-0000-00002B010000}"/>
    <cellStyle name="m 2" xfId="256" xr:uid="{00000000-0005-0000-0000-00002C010000}"/>
    <cellStyle name="MainDescription" xfId="257" xr:uid="{00000000-0005-0000-0000-00002D010000}"/>
    <cellStyle name="Measure" xfId="258" xr:uid="{00000000-0005-0000-0000-00002E010000}"/>
    <cellStyle name="Milliers [0]_AR1194" xfId="259" xr:uid="{00000000-0005-0000-0000-00002F010000}"/>
    <cellStyle name="Milliers_AR1194" xfId="260" xr:uid="{00000000-0005-0000-0000-000030010000}"/>
    <cellStyle name="Monétaire [0]_AR1194" xfId="261" xr:uid="{00000000-0005-0000-0000-000031010000}"/>
    <cellStyle name="Monétaire_AR1194" xfId="262" xr:uid="{00000000-0005-0000-0000-000032010000}"/>
    <cellStyle name="NA is zero" xfId="263" xr:uid="{00000000-0005-0000-0000-000033010000}"/>
    <cellStyle name="Netral" xfId="264" xr:uid="{00000000-0005-0000-0000-000034010000}"/>
    <cellStyle name="Neutral 10" xfId="265" xr:uid="{00000000-0005-0000-0000-000035010000}"/>
    <cellStyle name="nilai" xfId="266" xr:uid="{00000000-0005-0000-0000-000036010000}"/>
    <cellStyle name="no dec" xfId="267" xr:uid="{00000000-0005-0000-0000-000037010000}"/>
    <cellStyle name="Normal" xfId="0" builtinId="0"/>
    <cellStyle name="Normal - Style1" xfId="268" xr:uid="{00000000-0005-0000-0000-000038010000}"/>
    <cellStyle name="Normal - Style1 2" xfId="269" xr:uid="{00000000-0005-0000-0000-000039010000}"/>
    <cellStyle name="Normal - Style2" xfId="270" xr:uid="{00000000-0005-0000-0000-00003A010000}"/>
    <cellStyle name="Normal - Style2 2" xfId="271" xr:uid="{00000000-0005-0000-0000-00003B010000}"/>
    <cellStyle name="Normal (1)" xfId="272" xr:uid="{00000000-0005-0000-0000-00003C010000}"/>
    <cellStyle name="Normal [0]" xfId="273" xr:uid="{00000000-0005-0000-0000-00003D010000}"/>
    <cellStyle name="Normal [1]" xfId="274" xr:uid="{00000000-0005-0000-0000-00003E010000}"/>
    <cellStyle name="Normal [2]" xfId="275" xr:uid="{00000000-0005-0000-0000-00003F010000}"/>
    <cellStyle name="Normal [3]" xfId="276" xr:uid="{00000000-0005-0000-0000-000040010000}"/>
    <cellStyle name="Normal 1" xfId="277" xr:uid="{00000000-0005-0000-0000-000041010000}"/>
    <cellStyle name="Normal 10" xfId="278" xr:uid="{00000000-0005-0000-0000-000042010000}"/>
    <cellStyle name="Normal 10 3" xfId="279" xr:uid="{00000000-0005-0000-0000-000043010000}"/>
    <cellStyle name="Normal 10 9" xfId="280" xr:uid="{00000000-0005-0000-0000-000044010000}"/>
    <cellStyle name="Normal 11 12" xfId="281" xr:uid="{00000000-0005-0000-0000-000045010000}"/>
    <cellStyle name="Normal 116" xfId="282" xr:uid="{00000000-0005-0000-0000-000046010000}"/>
    <cellStyle name="Normal 12 7" xfId="283" xr:uid="{00000000-0005-0000-0000-000047010000}"/>
    <cellStyle name="Normal 12_analis dipakai" xfId="284" xr:uid="{00000000-0005-0000-0000-000048010000}"/>
    <cellStyle name="Normal 120" xfId="285" xr:uid="{00000000-0005-0000-0000-000049010000}"/>
    <cellStyle name="Normal 13" xfId="286" xr:uid="{00000000-0005-0000-0000-00004A010000}"/>
    <cellStyle name="Normal 14 2 3" xfId="287" xr:uid="{00000000-0005-0000-0000-00004B010000}"/>
    <cellStyle name="Normal 163" xfId="288" xr:uid="{00000000-0005-0000-0000-00004C010000}"/>
    <cellStyle name="Normal 164" xfId="289" xr:uid="{00000000-0005-0000-0000-00004D010000}"/>
    <cellStyle name="Normal 165" xfId="290" xr:uid="{00000000-0005-0000-0000-00004E010000}"/>
    <cellStyle name="Normal 17 3" xfId="291" xr:uid="{00000000-0005-0000-0000-00004F010000}"/>
    <cellStyle name="Normal 18 3" xfId="292" xr:uid="{00000000-0005-0000-0000-000050010000}"/>
    <cellStyle name="Normal 2 11" xfId="293" xr:uid="{00000000-0005-0000-0000-000051010000}"/>
    <cellStyle name="Normal 2 2 12" xfId="294" xr:uid="{00000000-0005-0000-0000-000052010000}"/>
    <cellStyle name="Normal 2 2 6 2" xfId="295" xr:uid="{00000000-0005-0000-0000-000053010000}"/>
    <cellStyle name="Normal 2 3 3" xfId="296" xr:uid="{00000000-0005-0000-0000-000054010000}"/>
    <cellStyle name="Normal 2 3 3 2" xfId="297" xr:uid="{00000000-0005-0000-0000-000055010000}"/>
    <cellStyle name="Normal 2 5 4" xfId="298" xr:uid="{00000000-0005-0000-0000-000056010000}"/>
    <cellStyle name="Normal 2 8 10" xfId="299" xr:uid="{00000000-0005-0000-0000-000057010000}"/>
    <cellStyle name="Normal 2 8 18" xfId="300" xr:uid="{00000000-0005-0000-0000-000058010000}"/>
    <cellStyle name="Normal 3 10 2" xfId="301" xr:uid="{00000000-0005-0000-0000-000059010000}"/>
    <cellStyle name="Normal 3 11 2" xfId="302" xr:uid="{00000000-0005-0000-0000-00005A010000}"/>
    <cellStyle name="Normal 3 2" xfId="303" xr:uid="{00000000-0005-0000-0000-00005B010000}"/>
    <cellStyle name="Normal 3 8 2" xfId="304" xr:uid="{00000000-0005-0000-0000-00005C010000}"/>
    <cellStyle name="Normal 4 13" xfId="305" xr:uid="{00000000-0005-0000-0000-00005D010000}"/>
    <cellStyle name="Normal 5" xfId="306" xr:uid="{00000000-0005-0000-0000-00005E010000}"/>
    <cellStyle name="Normal 6" xfId="307" xr:uid="{00000000-0005-0000-0000-00005F010000}"/>
    <cellStyle name="Normal 6 2" xfId="308" xr:uid="{00000000-0005-0000-0000-000060010000}"/>
    <cellStyle name="Normal 7" xfId="309" xr:uid="{00000000-0005-0000-0000-000061010000}"/>
    <cellStyle name="Normal 7 5" xfId="310" xr:uid="{00000000-0005-0000-0000-000062010000}"/>
    <cellStyle name="Normal 9" xfId="311" xr:uid="{00000000-0005-0000-0000-000063010000}"/>
    <cellStyle name="Normal Bold" xfId="312" xr:uid="{00000000-0005-0000-0000-000064010000}"/>
    <cellStyle name="Normal Pct" xfId="313" xr:uid="{00000000-0005-0000-0000-000065010000}"/>
    <cellStyle name="Normal_Adm&amp;Teknis KM.70-Batas" xfId="314" xr:uid="{00000000-0005-0000-0000-000066010000}"/>
    <cellStyle name="Normal_Klarifikasi" xfId="315" xr:uid="{00000000-0005-0000-0000-000067010000}"/>
    <cellStyle name="Normal02" xfId="316" xr:uid="{00000000-0005-0000-0000-000068010000}"/>
    <cellStyle name="Note 10" xfId="317" xr:uid="{00000000-0005-0000-0000-000069010000}"/>
    <cellStyle name="NPPESalesPct" xfId="318" xr:uid="{00000000-0005-0000-0000-00006A010000}"/>
    <cellStyle name="Nr" xfId="319" xr:uid="{00000000-0005-0000-0000-00006B010000}"/>
    <cellStyle name="Num-0" xfId="320" xr:uid="{00000000-0005-0000-0000-00006C010000}"/>
    <cellStyle name="Output 10" xfId="321" xr:uid="{00000000-0005-0000-0000-00006D010000}"/>
    <cellStyle name="pc1" xfId="322" xr:uid="{00000000-0005-0000-0000-00006E010000}"/>
    <cellStyle name="per.style" xfId="323" xr:uid="{00000000-0005-0000-0000-00006F010000}"/>
    <cellStyle name="Percent" xfId="2" builtinId="5"/>
    <cellStyle name="Percent [0]" xfId="324" xr:uid="{00000000-0005-0000-0000-000070010000}"/>
    <cellStyle name="Percent [1]" xfId="325" xr:uid="{00000000-0005-0000-0000-000071010000}"/>
    <cellStyle name="Percent [2]" xfId="326" xr:uid="{00000000-0005-0000-0000-000072010000}"/>
    <cellStyle name="Percent 2 10" xfId="327" xr:uid="{00000000-0005-0000-0000-000073010000}"/>
    <cellStyle name="Percent 2 2" xfId="328" xr:uid="{00000000-0005-0000-0000-000074010000}"/>
    <cellStyle name="Percent 2 2 2 2" xfId="329" xr:uid="{00000000-0005-0000-0000-000075010000}"/>
    <cellStyle name="Percent 3 2" xfId="330" xr:uid="{00000000-0005-0000-0000-000076010000}"/>
    <cellStyle name="Percent 3 31" xfId="331" xr:uid="{00000000-0005-0000-0000-000077010000}"/>
    <cellStyle name="Percent 3 32" xfId="332" xr:uid="{00000000-0005-0000-0000-000078010000}"/>
    <cellStyle name="Percent 4 2" xfId="333" xr:uid="{00000000-0005-0000-0000-000079010000}"/>
    <cellStyle name="Percent 5" xfId="334" xr:uid="{00000000-0005-0000-0000-00007A010000}"/>
    <cellStyle name="Percent 7" xfId="335" xr:uid="{00000000-0005-0000-0000-00007B010000}"/>
    <cellStyle name="PERCENTAGE" xfId="336" xr:uid="{00000000-0005-0000-0000-00007C010000}"/>
    <cellStyle name="PercentSales" xfId="337" xr:uid="{00000000-0005-0000-0000-00007D010000}"/>
    <cellStyle name="PgLen" xfId="338" xr:uid="{00000000-0005-0000-0000-00007E010000}"/>
    <cellStyle name="pound_mu" xfId="339" xr:uid="{00000000-0005-0000-0000-00007F010000}"/>
    <cellStyle name="Rate" xfId="340" xr:uid="{00000000-0005-0000-0000-000080010000}"/>
    <cellStyle name="RateBold" xfId="341" xr:uid="{00000000-0005-0000-0000-000081010000}"/>
    <cellStyle name="Red font" xfId="342" xr:uid="{00000000-0005-0000-0000-000082010000}"/>
    <cellStyle name="regstoresfromspecstores" xfId="343" xr:uid="{00000000-0005-0000-0000-000083010000}"/>
    <cellStyle name="RevList" xfId="344" xr:uid="{00000000-0005-0000-0000-000084010000}"/>
    <cellStyle name="SATU" xfId="345" xr:uid="{00000000-0005-0000-0000-000085010000}"/>
    <cellStyle name="Section Title" xfId="346" xr:uid="{00000000-0005-0000-0000-000086010000}"/>
    <cellStyle name="SHADEDSTORES" xfId="347" xr:uid="{00000000-0005-0000-0000-000087010000}"/>
    <cellStyle name="Sheet Title" xfId="348" xr:uid="{00000000-0005-0000-0000-000088010000}"/>
    <cellStyle name="specstores" xfId="349" xr:uid="{00000000-0005-0000-0000-000089010000}"/>
    <cellStyle name="Strange" xfId="350" xr:uid="{00000000-0005-0000-0000-00008A010000}"/>
    <cellStyle name="STYL1 - Style1" xfId="351" xr:uid="{00000000-0005-0000-0000-00008B010000}"/>
    <cellStyle name="Subtitle" xfId="352" xr:uid="{00000000-0005-0000-0000-00008C010000}"/>
    <cellStyle name="Subtotal" xfId="353" xr:uid="{00000000-0005-0000-0000-00008D010000}"/>
    <cellStyle name="sum" xfId="354" xr:uid="{00000000-0005-0000-0000-00008E010000}"/>
    <cellStyle name="sum8" xfId="355" xr:uid="{00000000-0005-0000-0000-00008F010000}"/>
    <cellStyle name="Summary_back" xfId="356" xr:uid="{00000000-0005-0000-0000-000090010000}"/>
    <cellStyle name="T" xfId="357" xr:uid="{00000000-0005-0000-0000-000091010000}"/>
    <cellStyle name="T_Book1" xfId="358" xr:uid="{00000000-0005-0000-0000-000092010000}"/>
    <cellStyle name="T_Book1_STR Tangga ( PCA )" xfId="359" xr:uid="{00000000-0005-0000-0000-000093010000}"/>
    <cellStyle name="t_BQ_SAMEL_BNI_BEKASI_email" xfId="360" xr:uid="{00000000-0005-0000-0000-000094010000}"/>
    <cellStyle name="T_SKBDN Batam" xfId="361" xr:uid="{00000000-0005-0000-0000-000095010000}"/>
    <cellStyle name="Table" xfId="362" xr:uid="{00000000-0005-0000-0000-000096010000}"/>
    <cellStyle name="Teks Peringatan" xfId="363" xr:uid="{00000000-0005-0000-0000-000097010000}"/>
    <cellStyle name="Test [green]" xfId="364" xr:uid="{00000000-0005-0000-0000-000098010000}"/>
    <cellStyle name="TFCF" xfId="365" xr:uid="{00000000-0005-0000-0000-000099010000}"/>
    <cellStyle name="th" xfId="366" xr:uid="{00000000-0005-0000-0000-00009A010000}"/>
    <cellStyle name="TIKAWATI" xfId="367" xr:uid="{00000000-0005-0000-0000-00009B010000}"/>
    <cellStyle name="Title " xfId="368" xr:uid="{00000000-0005-0000-0000-00009C010000}"/>
    <cellStyle name="Title  - Style1" xfId="369" xr:uid="{00000000-0005-0000-0000-00009D010000}"/>
    <cellStyle name="Title 10" xfId="370" xr:uid="{00000000-0005-0000-0000-00009E010000}"/>
    <cellStyle name="Title Row" xfId="371" xr:uid="{00000000-0005-0000-0000-00009F010000}"/>
    <cellStyle name="Total 10" xfId="372" xr:uid="{00000000-0005-0000-0000-0000A0010000}"/>
    <cellStyle name="Total 2" xfId="373" xr:uid="{00000000-0005-0000-0000-0000A1010000}"/>
    <cellStyle name="Total 3" xfId="374" xr:uid="{00000000-0005-0000-0000-0000A2010000}"/>
    <cellStyle name="totalbold" xfId="375" xr:uid="{00000000-0005-0000-0000-0000A3010000}"/>
    <cellStyle name="TotCol" xfId="376" xr:uid="{00000000-0005-0000-0000-0000A4010000}"/>
    <cellStyle name="TotCol - Style5" xfId="377" xr:uid="{00000000-0005-0000-0000-0000A5010000}"/>
    <cellStyle name="TotRow" xfId="378" xr:uid="{00000000-0005-0000-0000-0000A6010000}"/>
    <cellStyle name="TotRow - Style4" xfId="379" xr:uid="{00000000-0005-0000-0000-0000A7010000}"/>
    <cellStyle name="Tusental_NPV" xfId="380" xr:uid="{00000000-0005-0000-0000-0000A8010000}"/>
    <cellStyle name="Uang Muka" xfId="381" xr:uid="{00000000-0005-0000-0000-0000A9010000}"/>
    <cellStyle name="uni" xfId="382" xr:uid="{00000000-0005-0000-0000-0000AA010000}"/>
    <cellStyle name="Unit" xfId="383" xr:uid="{00000000-0005-0000-0000-0000AB010000}"/>
    <cellStyle name="User_Defined_A" xfId="384" xr:uid="{00000000-0005-0000-0000-0000AC010000}"/>
    <cellStyle name="Valuta (0)_pldt" xfId="385" xr:uid="{00000000-0005-0000-0000-0000AD010000}"/>
    <cellStyle name="Valuta_NPV" xfId="386" xr:uid="{00000000-0005-0000-0000-0000AE010000}"/>
    <cellStyle name="viet" xfId="387" xr:uid="{00000000-0005-0000-0000-0000AF010000}"/>
    <cellStyle name="viet2" xfId="388" xr:uid="{00000000-0005-0000-0000-0000B0010000}"/>
    <cellStyle name="Währung [0]_hcl-Tank (GB)" xfId="389" xr:uid="{00000000-0005-0000-0000-0000B1010000}"/>
    <cellStyle name="Währung_hcl-Tank (GB)" xfId="390" xr:uid="{00000000-0005-0000-0000-0000B2010000}"/>
    <cellStyle name="Warning Text 10" xfId="391" xr:uid="{00000000-0005-0000-0000-0000B3010000}"/>
    <cellStyle name="WHead - Style2" xfId="392" xr:uid="{00000000-0005-0000-0000-0000B4010000}"/>
    <cellStyle name="White" xfId="393" xr:uid="{00000000-0005-0000-0000-0000B5010000}"/>
    <cellStyle name="เครื่องหมายจุลภาค [0]_N1222H#" xfId="394" xr:uid="{00000000-0005-0000-0000-0000B6010000}"/>
    <cellStyle name="เครื่องหมายจุลภาค_N1222H#" xfId="395" xr:uid="{00000000-0005-0000-0000-0000B7010000}"/>
    <cellStyle name="เครื่องหมายสกุลเงิน [0]_N1222H#" xfId="396" xr:uid="{00000000-0005-0000-0000-0000B8010000}"/>
    <cellStyle name="เครื่องหมายสกุลเงิน_N1222H#" xfId="397" xr:uid="{00000000-0005-0000-0000-0000B9010000}"/>
    <cellStyle name="ปกติ_N1222H#" xfId="398" xr:uid="{00000000-0005-0000-0000-0000BA010000}"/>
    <cellStyle name="똿뗦먛귟 [0.00]_PRODUCT DETAIL Q1" xfId="399" xr:uid="{00000000-0005-0000-0000-0000BB010000}"/>
    <cellStyle name="똿뗦먛귟_PRODUCT DETAIL Q1" xfId="400" xr:uid="{00000000-0005-0000-0000-0000BC010000}"/>
    <cellStyle name="믅됞 [0.00]_PRODUCT DETAIL Q1" xfId="401" xr:uid="{00000000-0005-0000-0000-0000BD010000}"/>
    <cellStyle name="뷭?_BOOKSHIP" xfId="402" xr:uid="{00000000-0005-0000-0000-0000BE010000}"/>
    <cellStyle name="콤마 [0]_1202" xfId="403" xr:uid="{00000000-0005-0000-0000-0000BF010000}"/>
    <cellStyle name="콤마_1202" xfId="404" xr:uid="{00000000-0005-0000-0000-0000C0010000}"/>
    <cellStyle name="통화 [0]_1202" xfId="405" xr:uid="{00000000-0005-0000-0000-0000C1010000}"/>
    <cellStyle name="통화_1202" xfId="406" xr:uid="{00000000-0005-0000-0000-0000C2010000}"/>
    <cellStyle name="표준_(정보부문)월별인원계획" xfId="407" xr:uid="{00000000-0005-0000-0000-0000C3010000}"/>
    <cellStyle name="常规_Sheet1" xfId="408" xr:uid="{00000000-0005-0000-0000-0000C4010000}"/>
    <cellStyle name="未定義" xfId="409" xr:uid="{00000000-0005-0000-0000-0000C5010000}"/>
    <cellStyle name="桁区切り_Constr.Cost Estimated" xfId="410" xr:uid="{00000000-0005-0000-0000-0000C6010000}"/>
    <cellStyle name="標準_051210  Progress control (Package-6 Lot-4) Simple Version" xfId="411" xr:uid="{00000000-0005-0000-0000-0000C7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trlProps/ctrlProp1.xml><?xml version="1.0" encoding="utf-8"?>
<formControlPr xmlns="http://schemas.microsoft.com/office/spreadsheetml/2009/9/main" objectType="CheckBox" checked="Checked" noThreeD="1"/>
</file>

<file path=xl/ctrlProps/ctrlProp2.xml><?xml version="1.0" encoding="utf-8"?>
<formControlPr xmlns="http://schemas.microsoft.com/office/spreadsheetml/2009/9/main" objectType="CheckBox" checked="Checked"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12009</xdr:colOff>
      <xdr:row>0</xdr:row>
      <xdr:rowOff>12010</xdr:rowOff>
    </xdr:from>
    <xdr:to>
      <xdr:col>2</xdr:col>
      <xdr:colOff>46796</xdr:colOff>
      <xdr:row>2</xdr:row>
      <xdr:rowOff>140805</xdr:rowOff>
    </xdr:to>
    <xdr:pic>
      <xdr:nvPicPr>
        <xdr:cNvPr id="2" name="Picture 1" descr="NTB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43585" cy="9480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23813</xdr:colOff>
          <xdr:row>22</xdr:row>
          <xdr:rowOff>38100</xdr:rowOff>
        </xdr:from>
        <xdr:to>
          <xdr:col>7</xdr:col>
          <xdr:colOff>890588</xdr:colOff>
          <xdr:row>22</xdr:row>
          <xdr:rowOff>166688</xdr:rowOff>
        </xdr:to>
        <xdr:sp macro="" textlink="">
          <xdr:nvSpPr>
            <xdr:cNvPr id="78849" name="Check Box 1025" hidden="1">
              <a:extLst>
                <a:ext uri="{63B3BB69-23CF-44E3-9099-C40C66FF867C}">
                  <a14:compatExt spid="_x0000_s78849"/>
                </a:ext>
                <a:ext uri="{FF2B5EF4-FFF2-40B4-BE49-F238E27FC236}">
                  <a16:creationId xmlns:a16="http://schemas.microsoft.com/office/drawing/2014/main" id="{00000000-0008-0000-0200-0000013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id-ID" sz="800" b="0" i="0" u="none" strike="noStrike" baseline="0">
                  <a:solidFill>
                    <a:srgbClr val="000000"/>
                  </a:solidFill>
                  <a:latin typeface="Tahoma"/>
                  <a:ea typeface="Tahoma"/>
                  <a:cs typeface="Tahoma"/>
                </a:rPr>
                <a:t>Terlampir</a:t>
              </a:r>
            </a:p>
          </xdr:txBody>
        </xdr:sp>
        <xdr:clientData/>
      </xdr:twoCellAnchor>
    </mc:Choice>
    <mc:Fallback/>
  </mc:AlternateContent>
  <xdr:twoCellAnchor editAs="absolute">
    <xdr:from>
      <xdr:col>0</xdr:col>
      <xdr:colOff>10990</xdr:colOff>
      <xdr:row>0</xdr:row>
      <xdr:rowOff>43962</xdr:rowOff>
    </xdr:from>
    <xdr:to>
      <xdr:col>2</xdr:col>
      <xdr:colOff>111401</xdr:colOff>
      <xdr:row>2</xdr:row>
      <xdr:rowOff>175782</xdr:rowOff>
    </xdr:to>
    <xdr:pic>
      <xdr:nvPicPr>
        <xdr:cNvPr id="2" name="Picture 1" descr="NTB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0795" y="43815"/>
          <a:ext cx="740410" cy="9505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7</xdr:col>
          <xdr:colOff>23813</xdr:colOff>
          <xdr:row>24</xdr:row>
          <xdr:rowOff>38100</xdr:rowOff>
        </xdr:from>
        <xdr:to>
          <xdr:col>7</xdr:col>
          <xdr:colOff>890588</xdr:colOff>
          <xdr:row>24</xdr:row>
          <xdr:rowOff>166688</xdr:rowOff>
        </xdr:to>
        <xdr:sp macro="" textlink="">
          <xdr:nvSpPr>
            <xdr:cNvPr id="78863" name="Check Box 1039" hidden="1">
              <a:extLst>
                <a:ext uri="{63B3BB69-23CF-44E3-9099-C40C66FF867C}">
                  <a14:compatExt spid="_x0000_s78863"/>
                </a:ext>
                <a:ext uri="{FF2B5EF4-FFF2-40B4-BE49-F238E27FC236}">
                  <a16:creationId xmlns:a16="http://schemas.microsoft.com/office/drawing/2014/main" id="{00000000-0008-0000-0200-00000F3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id-ID" sz="800" b="0" i="0" u="none" strike="noStrike" baseline="0">
                  <a:solidFill>
                    <a:srgbClr val="000000"/>
                  </a:solidFill>
                  <a:latin typeface="Tahoma"/>
                  <a:ea typeface="Tahoma"/>
                  <a:cs typeface="Tahoma"/>
                </a:rPr>
                <a:t>Terlampir</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absolute">
    <xdr:from>
      <xdr:col>0</xdr:col>
      <xdr:colOff>45873</xdr:colOff>
      <xdr:row>0</xdr:row>
      <xdr:rowOff>50107</xdr:rowOff>
    </xdr:from>
    <xdr:to>
      <xdr:col>2</xdr:col>
      <xdr:colOff>0</xdr:colOff>
      <xdr:row>2</xdr:row>
      <xdr:rowOff>178902</xdr:rowOff>
    </xdr:to>
    <xdr:pic>
      <xdr:nvPicPr>
        <xdr:cNvPr id="2" name="Picture 1" descr="NTB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45720" y="49530"/>
          <a:ext cx="769620" cy="94805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12009</xdr:colOff>
      <xdr:row>0</xdr:row>
      <xdr:rowOff>12010</xdr:rowOff>
    </xdr:from>
    <xdr:to>
      <xdr:col>1</xdr:col>
      <xdr:colOff>539611</xdr:colOff>
      <xdr:row>2</xdr:row>
      <xdr:rowOff>140805</xdr:rowOff>
    </xdr:to>
    <xdr:pic>
      <xdr:nvPicPr>
        <xdr:cNvPr id="2" name="Picture 1" descr="NTB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79145" cy="94805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12009</xdr:colOff>
      <xdr:row>0</xdr:row>
      <xdr:rowOff>12010</xdr:rowOff>
    </xdr:from>
    <xdr:to>
      <xdr:col>1</xdr:col>
      <xdr:colOff>539611</xdr:colOff>
      <xdr:row>2</xdr:row>
      <xdr:rowOff>140805</xdr:rowOff>
    </xdr:to>
    <xdr:pic>
      <xdr:nvPicPr>
        <xdr:cNvPr id="2" name="Picture 1" descr="NTBlogo">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79145" cy="94805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9521</xdr:colOff>
      <xdr:row>2</xdr:row>
      <xdr:rowOff>43238</xdr:rowOff>
    </xdr:from>
    <xdr:to>
      <xdr:col>3</xdr:col>
      <xdr:colOff>121337</xdr:colOff>
      <xdr:row>4</xdr:row>
      <xdr:rowOff>163958</xdr:rowOff>
    </xdr:to>
    <xdr:pic>
      <xdr:nvPicPr>
        <xdr:cNvPr id="2" name="Picture 1" descr="NTB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8890" y="458470"/>
          <a:ext cx="744855" cy="95123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9521</xdr:colOff>
      <xdr:row>2</xdr:row>
      <xdr:rowOff>43238</xdr:rowOff>
    </xdr:from>
    <xdr:to>
      <xdr:col>3</xdr:col>
      <xdr:colOff>121337</xdr:colOff>
      <xdr:row>4</xdr:row>
      <xdr:rowOff>163958</xdr:rowOff>
    </xdr:to>
    <xdr:pic>
      <xdr:nvPicPr>
        <xdr:cNvPr id="3" name="Picture 2" descr="NTBlogo">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8890" y="458470"/>
          <a:ext cx="744855" cy="95123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8282</xdr:colOff>
      <xdr:row>1</xdr:row>
      <xdr:rowOff>41003</xdr:rowOff>
    </xdr:from>
    <xdr:to>
      <xdr:col>2</xdr:col>
      <xdr:colOff>43069</xdr:colOff>
      <xdr:row>3</xdr:row>
      <xdr:rowOff>169797</xdr:rowOff>
    </xdr:to>
    <xdr:pic>
      <xdr:nvPicPr>
        <xdr:cNvPr id="2" name="Picture 1" descr="NTBlogo">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8255" y="223520"/>
          <a:ext cx="742950" cy="948055"/>
        </a:xfrm>
        <a:prstGeom prst="rect">
          <a:avLst/>
        </a:prstGeom>
        <a:noFill/>
        <a:ln w="9525">
          <a:noFill/>
          <a:miter lim="800000"/>
          <a:headEnd/>
          <a:tailEnd/>
        </a:ln>
      </xdr:spPr>
    </xdr:pic>
    <xdr:clientData/>
  </xdr:twoCellAnchor>
  <xdr:twoCellAnchor editAs="absolute">
    <xdr:from>
      <xdr:col>13</xdr:col>
      <xdr:colOff>144946</xdr:colOff>
      <xdr:row>1</xdr:row>
      <xdr:rowOff>86970</xdr:rowOff>
    </xdr:from>
    <xdr:to>
      <xdr:col>16</xdr:col>
      <xdr:colOff>34788</xdr:colOff>
      <xdr:row>3</xdr:row>
      <xdr:rowOff>215764</xdr:rowOff>
    </xdr:to>
    <xdr:pic>
      <xdr:nvPicPr>
        <xdr:cNvPr id="3" name="Picture 2" descr="NTBlogo">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7932420" y="269240"/>
          <a:ext cx="735330" cy="94805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37077</xdr:colOff>
      <xdr:row>0</xdr:row>
      <xdr:rowOff>32528</xdr:rowOff>
    </xdr:from>
    <xdr:to>
      <xdr:col>2</xdr:col>
      <xdr:colOff>89363</xdr:colOff>
      <xdr:row>2</xdr:row>
      <xdr:rowOff>154642</xdr:rowOff>
    </xdr:to>
    <xdr:pic>
      <xdr:nvPicPr>
        <xdr:cNvPr id="2" name="Picture 1" descr="NTBlogo">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36830" y="32385"/>
          <a:ext cx="676910" cy="893445"/>
        </a:xfrm>
        <a:prstGeom prst="rect">
          <a:avLst/>
        </a:prstGeom>
        <a:noFill/>
        <a:ln w="9525">
          <a:noFill/>
          <a:miter lim="800000"/>
          <a:headEnd/>
          <a:tailEnd/>
        </a:ln>
      </xdr:spPr>
    </xdr:pic>
    <xdr:clientData/>
  </xdr:twoCellAnchor>
  <xdr:twoCellAnchor editAs="oneCell">
    <xdr:from>
      <xdr:col>0</xdr:col>
      <xdr:colOff>40005</xdr:colOff>
      <xdr:row>73</xdr:row>
      <xdr:rowOff>45720</xdr:rowOff>
    </xdr:from>
    <xdr:to>
      <xdr:col>2</xdr:col>
      <xdr:colOff>92075</xdr:colOff>
      <xdr:row>75</xdr:row>
      <xdr:rowOff>167640</xdr:rowOff>
    </xdr:to>
    <xdr:pic>
      <xdr:nvPicPr>
        <xdr:cNvPr id="4" name="Picture 3" descr="NTBlogo">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40005" y="13245465"/>
          <a:ext cx="676910" cy="89344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12009</xdr:colOff>
      <xdr:row>0</xdr:row>
      <xdr:rowOff>12010</xdr:rowOff>
    </xdr:from>
    <xdr:to>
      <xdr:col>2</xdr:col>
      <xdr:colOff>50937</xdr:colOff>
      <xdr:row>2</xdr:row>
      <xdr:rowOff>140805</xdr:rowOff>
    </xdr:to>
    <xdr:pic>
      <xdr:nvPicPr>
        <xdr:cNvPr id="2" name="Picture 1" descr="NTBlogo">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48030" cy="94805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12009</xdr:colOff>
      <xdr:row>0</xdr:row>
      <xdr:rowOff>12010</xdr:rowOff>
    </xdr:from>
    <xdr:to>
      <xdr:col>2</xdr:col>
      <xdr:colOff>50937</xdr:colOff>
      <xdr:row>2</xdr:row>
      <xdr:rowOff>140805</xdr:rowOff>
    </xdr:to>
    <xdr:pic>
      <xdr:nvPicPr>
        <xdr:cNvPr id="2" name="Picture 1" descr="NTBlogo">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48030" cy="94805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12009</xdr:colOff>
      <xdr:row>0</xdr:row>
      <xdr:rowOff>12010</xdr:rowOff>
    </xdr:from>
    <xdr:to>
      <xdr:col>2</xdr:col>
      <xdr:colOff>46796</xdr:colOff>
      <xdr:row>2</xdr:row>
      <xdr:rowOff>140805</xdr:rowOff>
    </xdr:to>
    <xdr:pic>
      <xdr:nvPicPr>
        <xdr:cNvPr id="2" name="Picture 1" descr="NTBlogo">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43585" cy="94805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12009</xdr:colOff>
      <xdr:row>0</xdr:row>
      <xdr:rowOff>12010</xdr:rowOff>
    </xdr:from>
    <xdr:to>
      <xdr:col>2</xdr:col>
      <xdr:colOff>46796</xdr:colOff>
      <xdr:row>2</xdr:row>
      <xdr:rowOff>207066</xdr:rowOff>
    </xdr:to>
    <xdr:pic>
      <xdr:nvPicPr>
        <xdr:cNvPr id="2" name="Picture 1" descr="NTBlogo">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43585" cy="94805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12009</xdr:colOff>
      <xdr:row>0</xdr:row>
      <xdr:rowOff>12010</xdr:rowOff>
    </xdr:from>
    <xdr:to>
      <xdr:col>2</xdr:col>
      <xdr:colOff>46796</xdr:colOff>
      <xdr:row>2</xdr:row>
      <xdr:rowOff>203753</xdr:rowOff>
    </xdr:to>
    <xdr:pic>
      <xdr:nvPicPr>
        <xdr:cNvPr id="2" name="Picture 1" descr="NTBlogo">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43585" cy="948055"/>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12004</xdr:colOff>
      <xdr:row>0</xdr:row>
      <xdr:rowOff>12010</xdr:rowOff>
    </xdr:from>
    <xdr:to>
      <xdr:col>2</xdr:col>
      <xdr:colOff>278704</xdr:colOff>
      <xdr:row>2</xdr:row>
      <xdr:rowOff>183875</xdr:rowOff>
    </xdr:to>
    <xdr:pic>
      <xdr:nvPicPr>
        <xdr:cNvPr id="2" name="Picture 1" descr="NTBlogo">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69620" cy="94805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12009</xdr:colOff>
      <xdr:row>0</xdr:row>
      <xdr:rowOff>12010</xdr:rowOff>
    </xdr:from>
    <xdr:to>
      <xdr:col>2</xdr:col>
      <xdr:colOff>278709</xdr:colOff>
      <xdr:row>2</xdr:row>
      <xdr:rowOff>195088</xdr:rowOff>
    </xdr:to>
    <xdr:pic>
      <xdr:nvPicPr>
        <xdr:cNvPr id="2" name="Picture 1" descr="NTBlogo">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69620" cy="948055"/>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12009</xdr:colOff>
      <xdr:row>0</xdr:row>
      <xdr:rowOff>12010</xdr:rowOff>
    </xdr:from>
    <xdr:to>
      <xdr:col>1</xdr:col>
      <xdr:colOff>465068</xdr:colOff>
      <xdr:row>2</xdr:row>
      <xdr:rowOff>140805</xdr:rowOff>
    </xdr:to>
    <xdr:pic>
      <xdr:nvPicPr>
        <xdr:cNvPr id="2" name="Picture 1" descr="NTBlogo">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430" y="11430"/>
          <a:ext cx="765810" cy="94805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45551</xdr:colOff>
      <xdr:row>0</xdr:row>
      <xdr:rowOff>37269</xdr:rowOff>
    </xdr:from>
    <xdr:to>
      <xdr:col>2</xdr:col>
      <xdr:colOff>80338</xdr:colOff>
      <xdr:row>2</xdr:row>
      <xdr:rowOff>166064</xdr:rowOff>
    </xdr:to>
    <xdr:pic>
      <xdr:nvPicPr>
        <xdr:cNvPr id="2" name="Picture 1" descr="NTB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45085" y="36830"/>
          <a:ext cx="743585" cy="94805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pkad@ntbprov.go.id" TargetMode="External"/><Relationship Id="rId1" Type="http://schemas.openxmlformats.org/officeDocument/2006/relationships/hyperlink" Target="mailto:darussalam@ptdarussalam.id"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pageSetUpPr fitToPage="1"/>
  </sheetPr>
  <dimension ref="A1:V171"/>
  <sheetViews>
    <sheetView view="pageBreakPreview" topLeftCell="A149" zoomScale="130" zoomScaleNormal="100" workbookViewId="0">
      <selection activeCell="E149" sqref="E149"/>
    </sheetView>
  </sheetViews>
  <sheetFormatPr defaultColWidth="9" defaultRowHeight="13.15"/>
  <cols>
    <col min="1" max="1" width="4.46484375" customWidth="1"/>
    <col min="2" max="2" width="17.6640625" customWidth="1"/>
    <col min="3" max="3" width="2.53125" customWidth="1"/>
    <col min="4" max="4" width="23.53125" customWidth="1"/>
    <col min="5" max="5" width="9.46484375" customWidth="1"/>
    <col min="6" max="6" width="17" customWidth="1"/>
    <col min="7" max="7" width="13.53125" customWidth="1"/>
    <col min="8" max="8" width="17.53125" style="698" customWidth="1"/>
    <col min="9" max="9" width="11.86328125" style="698" customWidth="1"/>
    <col min="10" max="15" width="5.796875" customWidth="1"/>
    <col min="16" max="16" width="16" customWidth="1"/>
    <col min="17" max="17" width="1.86328125" customWidth="1"/>
    <col min="19" max="19" width="2.86328125" customWidth="1"/>
    <col min="20" max="20" width="2.796875" customWidth="1"/>
  </cols>
  <sheetData>
    <row r="1" spans="1:7" s="18" customFormat="1" ht="21" customHeight="1">
      <c r="A1" s="699" t="s">
        <v>0</v>
      </c>
      <c r="B1" s="700"/>
      <c r="C1" s="701"/>
      <c r="D1" s="701"/>
      <c r="E1" s="701"/>
      <c r="F1" s="701"/>
      <c r="G1" s="702" t="s">
        <v>1403</v>
      </c>
    </row>
    <row r="2" spans="1:7" ht="15" customHeight="1">
      <c r="A2" s="703" t="s">
        <v>1</v>
      </c>
      <c r="B2" s="703"/>
      <c r="C2" s="788" t="s">
        <v>2</v>
      </c>
      <c r="D2" s="704" t="s">
        <v>3</v>
      </c>
      <c r="E2" s="188"/>
      <c r="F2" s="188"/>
      <c r="G2" s="188"/>
    </row>
    <row r="3" spans="1:7" ht="15" customHeight="1">
      <c r="A3" s="107" t="s">
        <v>4</v>
      </c>
      <c r="B3" s="703"/>
      <c r="C3" s="789" t="s">
        <v>2</v>
      </c>
      <c r="D3" s="120" t="s">
        <v>5</v>
      </c>
      <c r="E3" s="188"/>
      <c r="F3" s="188"/>
      <c r="G3" s="188"/>
    </row>
    <row r="4" spans="1:7" ht="15" customHeight="1">
      <c r="A4" s="107" t="s">
        <v>6</v>
      </c>
      <c r="B4" s="703"/>
      <c r="C4" s="789" t="s">
        <v>2</v>
      </c>
      <c r="D4" s="37" t="s">
        <v>7</v>
      </c>
      <c r="E4" s="188"/>
      <c r="F4" s="188"/>
      <c r="G4" s="188"/>
    </row>
    <row r="5" spans="1:7" ht="15" customHeight="1">
      <c r="A5" s="107" t="s">
        <v>8</v>
      </c>
      <c r="B5" s="703"/>
      <c r="C5" s="789" t="s">
        <v>2</v>
      </c>
      <c r="D5" s="59" t="s">
        <v>9</v>
      </c>
      <c r="E5" s="59"/>
      <c r="F5" s="59"/>
      <c r="G5" s="59"/>
    </row>
    <row r="6" spans="1:7" ht="15" customHeight="1">
      <c r="A6" s="107" t="s">
        <v>10</v>
      </c>
      <c r="B6" s="703"/>
      <c r="C6" s="789" t="s">
        <v>2</v>
      </c>
      <c r="D6" s="59" t="s">
        <v>11</v>
      </c>
      <c r="E6" s="59"/>
      <c r="F6" s="59"/>
      <c r="G6" s="59"/>
    </row>
    <row r="7" spans="1:7" ht="15" customHeight="1">
      <c r="A7" s="107"/>
      <c r="B7" s="107" t="s">
        <v>12</v>
      </c>
      <c r="C7" s="789" t="s">
        <v>2</v>
      </c>
      <c r="D7" s="59" t="s">
        <v>13</v>
      </c>
      <c r="E7" s="59"/>
      <c r="F7" s="59"/>
      <c r="G7" s="59"/>
    </row>
    <row r="8" spans="1:7" ht="15" customHeight="1">
      <c r="A8" s="107"/>
      <c r="B8" s="107" t="s">
        <v>14</v>
      </c>
      <c r="C8" s="789" t="s">
        <v>2</v>
      </c>
      <c r="D8" s="59" t="s">
        <v>15</v>
      </c>
      <c r="E8" s="59"/>
      <c r="F8" s="59"/>
      <c r="G8" s="59"/>
    </row>
    <row r="9" spans="1:7" ht="15" customHeight="1">
      <c r="A9" s="107"/>
      <c r="B9" s="107" t="s">
        <v>16</v>
      </c>
      <c r="C9" s="789" t="s">
        <v>2</v>
      </c>
      <c r="D9" s="59" t="s">
        <v>17</v>
      </c>
      <c r="E9" s="59"/>
      <c r="F9" s="59"/>
      <c r="G9" s="59"/>
    </row>
    <row r="10" spans="1:7" ht="15" customHeight="1">
      <c r="A10" s="107" t="s">
        <v>18</v>
      </c>
      <c r="B10" s="703"/>
      <c r="C10" s="185" t="s">
        <v>2</v>
      </c>
      <c r="D10" s="59" t="s">
        <v>19</v>
      </c>
      <c r="E10" s="59"/>
      <c r="F10" s="59"/>
      <c r="G10" s="705" t="s">
        <v>20</v>
      </c>
    </row>
    <row r="11" spans="1:7" ht="15" customHeight="1">
      <c r="A11" s="107" t="s">
        <v>21</v>
      </c>
      <c r="B11" s="703"/>
      <c r="C11" s="185" t="s">
        <v>2</v>
      </c>
      <c r="D11" s="190" t="s">
        <v>22</v>
      </c>
      <c r="E11" s="190"/>
      <c r="F11" s="190"/>
      <c r="G11" s="59"/>
    </row>
    <row r="12" spans="1:7" ht="15" customHeight="1">
      <c r="A12" s="107" t="s">
        <v>23</v>
      </c>
      <c r="B12" s="703"/>
      <c r="C12" s="185" t="s">
        <v>2</v>
      </c>
      <c r="D12" s="131">
        <v>91430000</v>
      </c>
      <c r="E12" s="706"/>
      <c r="F12" s="190"/>
      <c r="G12" s="59"/>
    </row>
    <row r="13" spans="1:7" ht="15" customHeight="1">
      <c r="A13" s="107" t="s">
        <v>24</v>
      </c>
      <c r="B13" s="703"/>
      <c r="C13" s="193" t="s">
        <v>2</v>
      </c>
      <c r="D13" s="131">
        <f>PPK.HPS!I45</f>
        <v>69862000</v>
      </c>
      <c r="E13" s="706" t="str">
        <f>Uang!A1</f>
        <v>Enam Puluh Sembilan Juta Delapan Ratus Enam Puluh Dua Ribu Rupiah</v>
      </c>
      <c r="F13" s="707"/>
      <c r="G13" s="708"/>
    </row>
    <row r="14" spans="1:7" ht="15" customHeight="1">
      <c r="A14" s="107" t="s">
        <v>25</v>
      </c>
      <c r="B14" s="703"/>
      <c r="C14" s="193" t="s">
        <v>2</v>
      </c>
      <c r="D14" s="194" t="s">
        <v>26</v>
      </c>
      <c r="E14" s="707" t="str">
        <f>IF(hsls="Lumsum","Daftar Keluaran dan Harga",IF(hsls="Gabungan","Daftar Kuantitas/Keluaran dan Harga","Daftar Kuantitas dan Harga"))</f>
        <v>Daftar Keluaran dan Harga</v>
      </c>
      <c r="F14" s="707"/>
      <c r="G14" s="708"/>
    </row>
    <row r="15" spans="1:7" ht="15" customHeight="1">
      <c r="A15" s="107" t="s">
        <v>27</v>
      </c>
      <c r="B15" s="703"/>
      <c r="C15" s="193" t="s">
        <v>2</v>
      </c>
      <c r="D15" s="194" t="s">
        <v>28</v>
      </c>
      <c r="E15" s="707" t="str">
        <f>IF(D15="Surat Perjanjian Kerja","SPK",IF(D17="Surat Pesanan","SP","Kontrak"))</f>
        <v>SPK</v>
      </c>
      <c r="F15" s="707"/>
      <c r="G15" s="708"/>
    </row>
    <row r="16" spans="1:7" ht="15" customHeight="1">
      <c r="A16" s="107" t="s">
        <v>29</v>
      </c>
      <c r="B16" s="703"/>
      <c r="C16" s="193" t="s">
        <v>2</v>
      </c>
      <c r="D16" s="195">
        <v>30</v>
      </c>
      <c r="E16" s="709" t="str">
        <f>Uang!$A$81</f>
        <v>tiga puluh</v>
      </c>
      <c r="F16" s="709"/>
      <c r="G16" s="708"/>
    </row>
    <row r="17" spans="1:10" ht="15" customHeight="1">
      <c r="A17" s="107"/>
      <c r="B17" s="703"/>
      <c r="C17" s="193"/>
      <c r="D17" s="195"/>
      <c r="E17" s="195"/>
      <c r="F17" s="195"/>
      <c r="G17" s="710"/>
    </row>
    <row r="18" spans="1:10" ht="15" customHeight="1">
      <c r="A18" s="107" t="s">
        <v>30</v>
      </c>
      <c r="B18" s="703"/>
      <c r="C18" s="193" t="s">
        <v>2</v>
      </c>
      <c r="D18" s="195" t="str">
        <f>"Kantor "&amp;opd_nama&amp;" "&amp;opd_almt</f>
        <v>Kantor Badan Pengelolaan Keuangan dan Aset Daerah Jalan Pejanggik Nomor 14 Telp.( 0370 ) 627689, 625345 Fax: 627677</v>
      </c>
      <c r="E18" s="195"/>
      <c r="F18" s="195"/>
      <c r="G18" s="710"/>
    </row>
    <row r="19" spans="1:10" ht="15" customHeight="1">
      <c r="A19" s="107"/>
      <c r="B19" s="703"/>
      <c r="C19" s="193"/>
      <c r="D19" s="195"/>
      <c r="E19" s="195"/>
      <c r="F19" s="195"/>
      <c r="G19" s="710"/>
    </row>
    <row r="20" spans="1:10" ht="15" customHeight="1">
      <c r="A20" s="107" t="s">
        <v>31</v>
      </c>
      <c r="B20" s="703"/>
      <c r="C20" s="193" t="s">
        <v>2</v>
      </c>
      <c r="D20" s="195" t="s">
        <v>32</v>
      </c>
      <c r="E20" s="195"/>
      <c r="F20" s="195"/>
      <c r="G20" s="710"/>
    </row>
    <row r="21" spans="1:10" ht="15" customHeight="1">
      <c r="A21" s="828" t="s">
        <v>1347</v>
      </c>
      <c r="B21" s="703"/>
      <c r="C21" s="829" t="s">
        <v>2</v>
      </c>
      <c r="D21" s="830">
        <f>12%*11/12</f>
        <v>0.10999999999999999</v>
      </c>
      <c r="E21" s="195"/>
      <c r="F21" s="195"/>
      <c r="G21" s="710"/>
    </row>
    <row r="22" spans="1:10" ht="21" customHeight="1">
      <c r="A22" s="699" t="s">
        <v>33</v>
      </c>
      <c r="B22" s="700"/>
      <c r="C22" s="701"/>
      <c r="D22" s="701"/>
      <c r="E22" s="701"/>
      <c r="F22" s="701"/>
      <c r="G22" s="701"/>
    </row>
    <row r="23" spans="1:10" ht="15" customHeight="1">
      <c r="A23" s="703" t="s">
        <v>34</v>
      </c>
      <c r="B23" s="703"/>
      <c r="C23" s="789" t="s">
        <v>2</v>
      </c>
      <c r="D23" s="59" t="str">
        <f>D28&amp;" "&amp;opd_nama</f>
        <v>Kepala Badan Pengelolaan Keuangan dan Aset Daerah</v>
      </c>
      <c r="E23" s="59"/>
      <c r="F23" s="711" t="s">
        <v>35</v>
      </c>
      <c r="G23" s="712" t="s">
        <v>36</v>
      </c>
      <c r="H23" s="713"/>
      <c r="J23" s="698"/>
    </row>
    <row r="24" spans="1:10" ht="15" customHeight="1">
      <c r="A24" s="107"/>
      <c r="B24" s="107" t="s">
        <v>37</v>
      </c>
      <c r="C24" s="789" t="s">
        <v>2</v>
      </c>
      <c r="D24" s="59" t="s">
        <v>38</v>
      </c>
      <c r="E24" s="59"/>
      <c r="F24" s="714" t="s">
        <v>39</v>
      </c>
      <c r="G24" s="715" t="s">
        <v>40</v>
      </c>
      <c r="H24" s="713"/>
      <c r="J24" s="698"/>
    </row>
    <row r="25" spans="1:10" ht="15" customHeight="1">
      <c r="A25" s="107"/>
      <c r="B25" s="107" t="s">
        <v>41</v>
      </c>
      <c r="C25" s="789" t="s">
        <v>2</v>
      </c>
      <c r="D25" s="59" t="s">
        <v>42</v>
      </c>
      <c r="E25" s="59"/>
      <c r="F25" s="714" t="s">
        <v>43</v>
      </c>
      <c r="G25" s="715" t="s">
        <v>44</v>
      </c>
      <c r="H25" s="713"/>
      <c r="J25" s="698"/>
    </row>
    <row r="26" spans="1:10" ht="15" customHeight="1">
      <c r="A26" s="107"/>
      <c r="B26" s="107" t="s">
        <v>45</v>
      </c>
      <c r="C26" s="789" t="s">
        <v>2</v>
      </c>
      <c r="D26" s="59" t="s">
        <v>46</v>
      </c>
      <c r="E26" s="59"/>
      <c r="F26" s="714" t="s">
        <v>47</v>
      </c>
      <c r="G26" s="715" t="s">
        <v>48</v>
      </c>
      <c r="H26" s="713"/>
      <c r="J26" s="698"/>
    </row>
    <row r="27" spans="1:10" ht="15" customHeight="1">
      <c r="A27" s="107"/>
      <c r="B27" s="107"/>
      <c r="C27" s="789" t="s">
        <v>2</v>
      </c>
      <c r="D27" s="59" t="str">
        <f>VLOOKUP(pa_gol,F23:G28,2,FALSE)</f>
        <v>Pembina Utama Muda</v>
      </c>
      <c r="E27" s="59"/>
      <c r="F27" s="714" t="s">
        <v>46</v>
      </c>
      <c r="G27" s="715" t="s">
        <v>49</v>
      </c>
      <c r="H27" s="713"/>
      <c r="J27" s="698"/>
    </row>
    <row r="28" spans="1:10" ht="15" customHeight="1">
      <c r="A28" s="107"/>
      <c r="B28" s="107" t="s">
        <v>50</v>
      </c>
      <c r="C28" s="789" t="s">
        <v>2</v>
      </c>
      <c r="D28" s="59" t="s">
        <v>51</v>
      </c>
      <c r="E28" s="59"/>
      <c r="F28" s="716" t="s">
        <v>52</v>
      </c>
      <c r="G28" s="717" t="s">
        <v>53</v>
      </c>
      <c r="H28" s="713"/>
      <c r="J28" s="698"/>
    </row>
    <row r="29" spans="1:10" ht="15" customHeight="1">
      <c r="A29" s="107"/>
      <c r="B29" s="107" t="s">
        <v>54</v>
      </c>
      <c r="C29" s="789" t="s">
        <v>2</v>
      </c>
      <c r="D29" s="59" t="s">
        <v>55</v>
      </c>
      <c r="E29" s="59"/>
      <c r="F29" s="59"/>
      <c r="G29" s="713"/>
    </row>
    <row r="30" spans="1:10" ht="15" customHeight="1">
      <c r="A30" s="107"/>
      <c r="B30" s="718" t="s">
        <v>56</v>
      </c>
      <c r="C30" s="185" t="s">
        <v>2</v>
      </c>
      <c r="D30" s="195" t="s">
        <v>9</v>
      </c>
      <c r="E30" s="59"/>
      <c r="F30" s="59"/>
      <c r="G30" s="713"/>
    </row>
    <row r="31" spans="1:10" ht="15" customHeight="1">
      <c r="A31" s="703" t="s">
        <v>57</v>
      </c>
      <c r="B31" s="107" t="s">
        <v>50</v>
      </c>
      <c r="C31" s="185" t="s">
        <v>2</v>
      </c>
      <c r="D31" s="840" t="s">
        <v>1353</v>
      </c>
      <c r="E31" s="59"/>
      <c r="F31" s="713"/>
      <c r="G31" s="713"/>
    </row>
    <row r="32" spans="1:10" ht="15" customHeight="1">
      <c r="A32" s="107"/>
      <c r="B32" s="107" t="s">
        <v>37</v>
      </c>
      <c r="C32" s="185" t="s">
        <v>2</v>
      </c>
      <c r="D32" s="59" t="s">
        <v>58</v>
      </c>
      <c r="E32" s="59"/>
      <c r="F32" s="713"/>
      <c r="G32" s="713"/>
    </row>
    <row r="33" spans="1:7" ht="15" customHeight="1">
      <c r="A33" s="107"/>
      <c r="B33" s="107" t="s">
        <v>41</v>
      </c>
      <c r="C33" s="185" t="s">
        <v>2</v>
      </c>
      <c r="D33" s="59" t="s">
        <v>59</v>
      </c>
      <c r="E33" s="59"/>
      <c r="F33" s="713"/>
      <c r="G33" s="713"/>
    </row>
    <row r="34" spans="1:7" ht="15" customHeight="1">
      <c r="A34" s="107"/>
      <c r="B34" s="107" t="s">
        <v>45</v>
      </c>
      <c r="C34" s="185" t="s">
        <v>2</v>
      </c>
      <c r="D34" s="59" t="s">
        <v>46</v>
      </c>
      <c r="E34" s="719" t="str">
        <f>VLOOKUP(ppk_gol,F23:G28,2,FALSE)</f>
        <v>Pembina Utama Muda</v>
      </c>
      <c r="F34" s="720"/>
      <c r="G34" s="720"/>
    </row>
    <row r="35" spans="1:7" ht="15" customHeight="1">
      <c r="A35" s="107"/>
      <c r="B35" s="718" t="s">
        <v>56</v>
      </c>
      <c r="C35" s="185" t="s">
        <v>2</v>
      </c>
      <c r="D35" s="195" t="str">
        <f>pa_lok</f>
        <v>Mataram</v>
      </c>
      <c r="E35" s="59"/>
      <c r="F35" s="713"/>
      <c r="G35" s="713"/>
    </row>
    <row r="36" spans="1:7" ht="15" customHeight="1">
      <c r="A36" s="107"/>
      <c r="B36" s="107" t="s">
        <v>60</v>
      </c>
      <c r="C36" s="185" t="s">
        <v>2</v>
      </c>
      <c r="D36" s="59" t="s">
        <v>61</v>
      </c>
      <c r="E36" s="59"/>
      <c r="F36" s="713"/>
      <c r="G36" s="713"/>
    </row>
    <row r="37" spans="1:7" ht="15" customHeight="1">
      <c r="A37" s="107"/>
      <c r="B37" s="107" t="s">
        <v>62</v>
      </c>
      <c r="C37" s="185" t="s">
        <v>2</v>
      </c>
      <c r="D37" s="790" t="s">
        <v>63</v>
      </c>
      <c r="E37" s="59"/>
      <c r="F37" s="713"/>
      <c r="G37" s="713"/>
    </row>
    <row r="38" spans="1:7" ht="15" customHeight="1">
      <c r="A38" s="107"/>
      <c r="B38" s="107" t="s">
        <v>64</v>
      </c>
      <c r="C38" s="185" t="s">
        <v>2</v>
      </c>
      <c r="D38" s="790" t="s">
        <v>65</v>
      </c>
      <c r="E38" s="59"/>
      <c r="F38" s="713"/>
      <c r="G38" s="713"/>
    </row>
    <row r="39" spans="1:7" ht="15" customHeight="1">
      <c r="A39" s="107" t="s">
        <v>66</v>
      </c>
      <c r="B39" s="107"/>
      <c r="C39" s="185" t="s">
        <v>2</v>
      </c>
      <c r="D39" s="59" t="s">
        <v>67</v>
      </c>
      <c r="E39" s="59"/>
      <c r="F39" s="713"/>
      <c r="G39" s="713"/>
    </row>
    <row r="40" spans="1:7" ht="15" customHeight="1">
      <c r="A40" s="107"/>
      <c r="B40" s="718" t="s">
        <v>56</v>
      </c>
      <c r="C40" s="185" t="s">
        <v>2</v>
      </c>
      <c r="D40" s="195" t="str">
        <f>pa_lok</f>
        <v>Mataram</v>
      </c>
      <c r="E40" s="59"/>
      <c r="F40" s="713"/>
      <c r="G40" s="713"/>
    </row>
    <row r="41" spans="1:7" ht="15" customHeight="1">
      <c r="A41" s="721" t="str">
        <f>IF(G50="PP","PjPHP","PPHP")</f>
        <v>PjPHP</v>
      </c>
      <c r="B41" s="721"/>
      <c r="C41" s="722" t="s">
        <v>2</v>
      </c>
      <c r="D41" s="721" t="s">
        <v>1361</v>
      </c>
      <c r="E41" s="721"/>
      <c r="F41" s="864" t="s">
        <v>1360</v>
      </c>
      <c r="G41" s="723"/>
    </row>
    <row r="42" spans="1:7" ht="15" customHeight="1">
      <c r="A42" s="721"/>
      <c r="B42" s="724" t="s">
        <v>56</v>
      </c>
      <c r="C42" s="722" t="s">
        <v>2</v>
      </c>
      <c r="D42" s="725" t="str">
        <f>pa_lok</f>
        <v>Mataram</v>
      </c>
      <c r="E42" s="721"/>
      <c r="F42" s="864"/>
      <c r="G42" s="723"/>
    </row>
    <row r="43" spans="1:7" ht="15" customHeight="1">
      <c r="A43" s="721"/>
      <c r="B43" s="721" t="s">
        <v>68</v>
      </c>
      <c r="C43" s="722" t="s">
        <v>2</v>
      </c>
      <c r="D43" s="721" t="s">
        <v>69</v>
      </c>
      <c r="E43" s="721"/>
      <c r="F43" s="864"/>
      <c r="G43" s="723"/>
    </row>
    <row r="44" spans="1:7" ht="15" customHeight="1">
      <c r="A44" s="721"/>
      <c r="B44" s="721" t="s">
        <v>41</v>
      </c>
      <c r="C44" s="722" t="s">
        <v>2</v>
      </c>
      <c r="D44" s="721" t="s">
        <v>70</v>
      </c>
      <c r="E44" s="721"/>
      <c r="F44" s="864"/>
      <c r="G44" s="723"/>
    </row>
    <row r="45" spans="1:7" ht="15" customHeight="1">
      <c r="A45" s="721"/>
      <c r="B45" s="721" t="s">
        <v>71</v>
      </c>
      <c r="C45" s="722" t="s">
        <v>2</v>
      </c>
      <c r="D45" s="721" t="s">
        <v>72</v>
      </c>
      <c r="E45" s="721"/>
      <c r="F45" s="864"/>
      <c r="G45" s="723"/>
    </row>
    <row r="46" spans="1:7" ht="15" customHeight="1">
      <c r="A46" s="721"/>
      <c r="B46" s="721" t="s">
        <v>41</v>
      </c>
      <c r="C46" s="722" t="s">
        <v>2</v>
      </c>
      <c r="D46" s="721" t="s">
        <v>73</v>
      </c>
      <c r="E46" s="721"/>
      <c r="F46" s="864"/>
      <c r="G46" s="723"/>
    </row>
    <row r="47" spans="1:7" ht="15" customHeight="1">
      <c r="A47" s="721"/>
      <c r="B47" s="721" t="s">
        <v>74</v>
      </c>
      <c r="C47" s="722" t="s">
        <v>2</v>
      </c>
      <c r="D47" s="721" t="s">
        <v>75</v>
      </c>
      <c r="E47" s="721"/>
      <c r="F47" s="864"/>
      <c r="G47" s="723"/>
    </row>
    <row r="48" spans="1:7" ht="15" customHeight="1">
      <c r="A48" s="721"/>
      <c r="B48" s="721" t="s">
        <v>41</v>
      </c>
      <c r="C48" s="722" t="s">
        <v>2</v>
      </c>
      <c r="D48" s="721" t="s">
        <v>76</v>
      </c>
      <c r="E48" s="721"/>
      <c r="F48" s="865"/>
      <c r="G48" s="723"/>
    </row>
    <row r="49" spans="1:9" ht="15" customHeight="1">
      <c r="A49" s="726"/>
      <c r="B49" s="727"/>
      <c r="C49" s="728"/>
      <c r="D49" s="729"/>
      <c r="E49" s="729"/>
      <c r="F49" s="729"/>
      <c r="G49" s="730"/>
    </row>
    <row r="50" spans="1:9" ht="15" customHeight="1">
      <c r="A50" s="107" t="s">
        <v>77</v>
      </c>
      <c r="B50" s="703"/>
      <c r="C50" s="185" t="s">
        <v>2</v>
      </c>
      <c r="D50" s="731" t="s">
        <v>78</v>
      </c>
      <c r="E50" s="705" t="s">
        <v>79</v>
      </c>
      <c r="F50" s="59"/>
      <c r="G50" s="732" t="str">
        <f>IF(LEFT(pokja,2)="Ke","Pokmil","PP")</f>
        <v>PP</v>
      </c>
    </row>
    <row r="51" spans="1:9" ht="15" customHeight="1">
      <c r="A51" s="718"/>
      <c r="B51" s="718" t="s">
        <v>80</v>
      </c>
      <c r="C51" s="185" t="s">
        <v>2</v>
      </c>
      <c r="D51" s="59" t="str">
        <f>opd_nama</f>
        <v>Badan Pengelolaan Keuangan dan Aset Daerah</v>
      </c>
      <c r="E51" s="705"/>
      <c r="F51" s="59"/>
      <c r="G51" s="59"/>
    </row>
    <row r="52" spans="1:9" ht="15" customHeight="1">
      <c r="A52" s="107"/>
      <c r="B52" s="718" t="s">
        <v>81</v>
      </c>
      <c r="C52" s="789" t="s">
        <v>2</v>
      </c>
      <c r="D52" s="59" t="str">
        <f>opd_almt</f>
        <v>Jalan Pejanggik Nomor 14 Telp.( 0370 ) 627689, 625345 Fax: 627677</v>
      </c>
      <c r="E52" s="59"/>
      <c r="F52" s="59"/>
      <c r="G52" s="59"/>
    </row>
    <row r="53" spans="1:9" ht="15" customHeight="1">
      <c r="A53" s="107"/>
      <c r="B53" s="718" t="s">
        <v>56</v>
      </c>
      <c r="C53" s="185" t="s">
        <v>2</v>
      </c>
      <c r="D53" s="195" t="str">
        <f>D30</f>
        <v>Mataram</v>
      </c>
      <c r="E53" s="59"/>
      <c r="F53" s="59"/>
      <c r="G53" s="713"/>
    </row>
    <row r="54" spans="1:9" ht="15" customHeight="1">
      <c r="A54" s="107"/>
      <c r="B54" s="718" t="s">
        <v>82</v>
      </c>
      <c r="C54" s="185" t="s">
        <v>2</v>
      </c>
      <c r="D54" s="733" t="s">
        <v>83</v>
      </c>
      <c r="E54" s="59"/>
      <c r="F54" s="59"/>
      <c r="G54" s="713"/>
    </row>
    <row r="55" spans="1:9" ht="15" customHeight="1">
      <c r="A55" s="107"/>
      <c r="B55" s="107" t="s">
        <v>84</v>
      </c>
      <c r="C55" s="185" t="s">
        <v>2</v>
      </c>
      <c r="D55" s="59" t="s">
        <v>11</v>
      </c>
      <c r="E55" s="59"/>
      <c r="F55" s="59"/>
      <c r="G55" s="59"/>
    </row>
    <row r="56" spans="1:9" s="697" customFormat="1" ht="15" customHeight="1">
      <c r="A56" s="59"/>
      <c r="B56" s="59" t="s">
        <v>85</v>
      </c>
      <c r="C56" s="185" t="s">
        <v>2</v>
      </c>
      <c r="D56" s="59" t="s">
        <v>86</v>
      </c>
      <c r="E56" s="734"/>
      <c r="F56" s="734"/>
      <c r="G56" s="734"/>
      <c r="H56" s="735"/>
      <c r="I56" s="735"/>
    </row>
    <row r="57" spans="1:9" s="697" customFormat="1" ht="15" customHeight="1">
      <c r="A57" s="59"/>
      <c r="B57" s="59" t="s">
        <v>87</v>
      </c>
      <c r="C57" s="185" t="s">
        <v>2</v>
      </c>
      <c r="D57" s="736" t="s">
        <v>88</v>
      </c>
      <c r="E57" s="734"/>
      <c r="F57" s="734"/>
      <c r="G57" s="734"/>
      <c r="H57" s="735"/>
      <c r="I57" s="735"/>
    </row>
    <row r="58" spans="1:9" s="697" customFormat="1" ht="15" customHeight="1">
      <c r="A58" s="59" t="s">
        <v>89</v>
      </c>
      <c r="B58" s="59"/>
      <c r="C58" s="185" t="s">
        <v>2</v>
      </c>
      <c r="D58" s="59" t="s">
        <v>90</v>
      </c>
      <c r="E58" s="734"/>
      <c r="F58" s="734"/>
      <c r="G58" s="734"/>
      <c r="H58" s="735"/>
      <c r="I58" s="735"/>
    </row>
    <row r="59" spans="1:9" s="697" customFormat="1" ht="15" customHeight="1">
      <c r="A59" s="59"/>
      <c r="B59" s="59" t="s">
        <v>41</v>
      </c>
      <c r="C59" s="185" t="s">
        <v>2</v>
      </c>
      <c r="D59" s="59" t="s">
        <v>91</v>
      </c>
      <c r="E59" s="734"/>
      <c r="F59" s="734"/>
      <c r="G59" s="734"/>
      <c r="H59" s="735"/>
      <c r="I59" s="735"/>
    </row>
    <row r="60" spans="1:9" ht="15" customHeight="1">
      <c r="A60" s="107" t="s">
        <v>92</v>
      </c>
      <c r="B60" s="107"/>
      <c r="C60" s="185" t="s">
        <v>2</v>
      </c>
      <c r="D60" s="59"/>
      <c r="E60" s="59"/>
      <c r="F60" s="59"/>
      <c r="G60" s="59"/>
    </row>
    <row r="61" spans="1:9" ht="15" customHeight="1">
      <c r="A61" s="107" t="s">
        <v>93</v>
      </c>
      <c r="B61" s="107"/>
      <c r="C61" s="185" t="s">
        <v>2</v>
      </c>
      <c r="D61" s="59"/>
      <c r="E61" s="59"/>
      <c r="F61" s="59"/>
      <c r="G61" s="59"/>
    </row>
    <row r="62" spans="1:9" ht="15" customHeight="1">
      <c r="A62" s="107" t="s">
        <v>94</v>
      </c>
      <c r="B62" s="107"/>
      <c r="C62" s="185" t="s">
        <v>2</v>
      </c>
      <c r="D62" s="59"/>
      <c r="E62" s="59"/>
      <c r="F62" s="59"/>
      <c r="G62" s="59"/>
    </row>
    <row r="63" spans="1:9" ht="15" customHeight="1">
      <c r="A63" s="107" t="s">
        <v>95</v>
      </c>
      <c r="B63" s="107"/>
      <c r="C63" s="185" t="s">
        <v>2</v>
      </c>
      <c r="D63" s="59"/>
      <c r="E63" s="59"/>
      <c r="F63" s="59"/>
      <c r="G63" s="59"/>
    </row>
    <row r="64" spans="1:9" ht="15" customHeight="1">
      <c r="A64" s="107"/>
      <c r="B64" s="107"/>
      <c r="C64" s="185"/>
      <c r="D64" s="59"/>
      <c r="E64" s="59"/>
      <c r="F64" s="59"/>
      <c r="G64" s="59"/>
    </row>
    <row r="65" spans="1:9" s="18" customFormat="1" ht="20.25" customHeight="1">
      <c r="A65" s="699" t="s">
        <v>96</v>
      </c>
      <c r="B65" s="700"/>
      <c r="C65" s="701"/>
      <c r="D65" s="737" t="s">
        <v>97</v>
      </c>
      <c r="E65" s="701"/>
      <c r="F65" s="701"/>
      <c r="G65" s="701"/>
    </row>
    <row r="66" spans="1:9" ht="15" customHeight="1">
      <c r="A66" s="107" t="s">
        <v>98</v>
      </c>
      <c r="B66" s="703"/>
      <c r="C66" s="193" t="s">
        <v>2</v>
      </c>
      <c r="D66" s="195" t="s">
        <v>99</v>
      </c>
      <c r="E66" s="705" t="s">
        <v>100</v>
      </c>
      <c r="F66" s="195"/>
      <c r="G66" s="59"/>
    </row>
    <row r="67" spans="1:9" ht="15" customHeight="1">
      <c r="A67" s="107" t="s">
        <v>101</v>
      </c>
      <c r="B67" s="703"/>
      <c r="C67" s="193" t="s">
        <v>2</v>
      </c>
      <c r="D67" s="738" t="s">
        <v>102</v>
      </c>
      <c r="E67" s="705" t="s">
        <v>79</v>
      </c>
      <c r="F67" s="195"/>
      <c r="G67" s="59"/>
    </row>
    <row r="68" spans="1:9" ht="15" customHeight="1">
      <c r="A68" s="107" t="s">
        <v>103</v>
      </c>
      <c r="B68" s="703"/>
      <c r="C68" s="193" t="s">
        <v>2</v>
      </c>
      <c r="D68" s="195" t="s">
        <v>104</v>
      </c>
      <c r="E68" s="195"/>
      <c r="F68" s="195"/>
      <c r="G68" s="710"/>
    </row>
    <row r="69" spans="1:9" ht="15" customHeight="1">
      <c r="A69" s="739" t="s">
        <v>105</v>
      </c>
      <c r="B69" s="740"/>
      <c r="C69" s="741" t="s">
        <v>2</v>
      </c>
      <c r="D69" s="742" t="s">
        <v>106</v>
      </c>
      <c r="E69" s="195"/>
      <c r="F69" s="195"/>
      <c r="G69" s="710"/>
    </row>
    <row r="70" spans="1:9" ht="15" customHeight="1">
      <c r="A70" s="739" t="s">
        <v>107</v>
      </c>
      <c r="B70" s="740"/>
      <c r="C70" s="741" t="s">
        <v>2</v>
      </c>
      <c r="D70" s="742" t="s">
        <v>108</v>
      </c>
      <c r="E70" s="195"/>
      <c r="F70" s="195"/>
      <c r="G70" s="710"/>
    </row>
    <row r="71" spans="1:9" ht="15" customHeight="1">
      <c r="A71" s="59" t="s">
        <v>109</v>
      </c>
      <c r="B71" s="186"/>
      <c r="C71" s="743" t="s">
        <v>2</v>
      </c>
      <c r="D71" s="195">
        <v>15</v>
      </c>
      <c r="E71" s="195"/>
      <c r="F71" s="195"/>
      <c r="G71" s="710"/>
    </row>
    <row r="72" spans="1:9" ht="15" customHeight="1">
      <c r="A72" s="191"/>
      <c r="B72" s="192"/>
      <c r="C72" s="193"/>
      <c r="D72" s="195"/>
      <c r="E72" s="195"/>
      <c r="F72" s="195"/>
      <c r="G72" s="710"/>
    </row>
    <row r="73" spans="1:9" ht="15" customHeight="1">
      <c r="A73" s="862" t="s">
        <v>110</v>
      </c>
      <c r="B73" s="863"/>
      <c r="C73" s="863"/>
      <c r="D73" s="744" t="s">
        <v>111</v>
      </c>
      <c r="E73" s="744" t="s">
        <v>112</v>
      </c>
      <c r="F73" s="744" t="s">
        <v>113</v>
      </c>
      <c r="G73" s="744" t="s">
        <v>114</v>
      </c>
      <c r="I73"/>
    </row>
    <row r="74" spans="1:9" ht="15" customHeight="1">
      <c r="A74" s="745" t="s">
        <v>115</v>
      </c>
      <c r="B74" s="746" t="s">
        <v>116</v>
      </c>
      <c r="C74" s="747"/>
      <c r="D74" s="748" t="s">
        <v>117</v>
      </c>
      <c r="E74" s="749"/>
      <c r="F74" s="750">
        <v>45933</v>
      </c>
      <c r="G74" s="751"/>
      <c r="H74" s="698" t="str">
        <f>TEXT(Input!F74,"[$-421]d mmmm yyyy")</f>
        <v>3 Oktober 2025</v>
      </c>
      <c r="I74"/>
    </row>
    <row r="75" spans="1:9" ht="15" customHeight="1">
      <c r="A75" s="752" t="s">
        <v>57</v>
      </c>
      <c r="B75" s="753" t="s">
        <v>118</v>
      </c>
      <c r="C75" s="754"/>
      <c r="D75" s="748" t="s">
        <v>119</v>
      </c>
      <c r="E75" s="755"/>
      <c r="F75" s="750">
        <v>45936</v>
      </c>
      <c r="G75" s="756"/>
      <c r="H75" s="698" t="str">
        <f>TEXT(Input!F75,"[$-421]d mmmm yyyy")</f>
        <v>6 Oktober 2025</v>
      </c>
      <c r="I75"/>
    </row>
    <row r="76" spans="1:9" ht="15" customHeight="1">
      <c r="A76" s="752"/>
      <c r="B76" s="757" t="str">
        <f>"Surat PPK ke "&amp;G50</f>
        <v>Surat PPK ke PP</v>
      </c>
      <c r="C76" s="754"/>
      <c r="D76" s="748" t="s">
        <v>120</v>
      </c>
      <c r="E76" s="755"/>
      <c r="F76" s="750">
        <f>F75</f>
        <v>45936</v>
      </c>
      <c r="G76" s="756"/>
      <c r="H76" s="698" t="str">
        <f>TEXT(Input!F76,"[$-421]d mmmm yyyy")</f>
        <v>6 Oktober 2025</v>
      </c>
      <c r="I76"/>
    </row>
    <row r="77" spans="1:9" ht="15" customHeight="1">
      <c r="A77" s="758" t="str">
        <f>G50</f>
        <v>PP</v>
      </c>
      <c r="B77" s="757" t="s">
        <v>121</v>
      </c>
      <c r="C77" s="754"/>
      <c r="D77" s="748" t="s">
        <v>122</v>
      </c>
      <c r="E77" s="755"/>
      <c r="F77" s="750">
        <v>45931</v>
      </c>
      <c r="G77" s="756"/>
      <c r="H77" s="698" t="str">
        <f>TEXT(Input!F77,"[$-421]d mmmm yyyy")</f>
        <v>1 Oktober 2025</v>
      </c>
      <c r="I77"/>
    </row>
    <row r="78" spans="1:9" ht="15" customHeight="1">
      <c r="A78" s="758"/>
      <c r="B78" s="757" t="s">
        <v>123</v>
      </c>
      <c r="C78" s="754"/>
      <c r="D78" s="748" t="s">
        <v>124</v>
      </c>
      <c r="E78" s="755"/>
      <c r="F78" s="750">
        <v>45931</v>
      </c>
      <c r="G78" s="756"/>
      <c r="H78" s="698" t="str">
        <f>TEXT(Input!F78,"[$-421]d mmmm yyyy")</f>
        <v>1 Oktober 2025</v>
      </c>
      <c r="I78"/>
    </row>
    <row r="79" spans="1:9" ht="15" customHeight="1">
      <c r="A79" s="758"/>
      <c r="B79" s="757" t="s">
        <v>125</v>
      </c>
      <c r="C79" s="754"/>
      <c r="D79" s="748" t="s">
        <v>126</v>
      </c>
      <c r="E79" s="755"/>
      <c r="F79" s="750">
        <v>45932</v>
      </c>
      <c r="G79" s="756"/>
      <c r="H79" s="698" t="str">
        <f>TEXT(Input!F79,"[$-421]d mmmm yyyy")</f>
        <v>2 Oktober 2025</v>
      </c>
      <c r="I79"/>
    </row>
    <row r="80" spans="1:9" ht="15" customHeight="1">
      <c r="A80" s="752"/>
      <c r="B80" s="753" t="s">
        <v>127</v>
      </c>
      <c r="D80" s="748" t="s">
        <v>128</v>
      </c>
      <c r="E80" s="755" t="str">
        <f>TEXT(F80,"[$-421]dddd")</f>
        <v>Selasa</v>
      </c>
      <c r="F80" s="750">
        <v>45132</v>
      </c>
      <c r="G80" s="759"/>
      <c r="H80" s="698" t="str">
        <f>TEXT(Input!F80,"[$-421]d mmmm yyyy")</f>
        <v>25 Juli 2023</v>
      </c>
      <c r="I80"/>
    </row>
    <row r="81" spans="1:9" ht="15" customHeight="1">
      <c r="A81" s="752"/>
      <c r="B81" t="s">
        <v>129</v>
      </c>
      <c r="D81" s="748"/>
      <c r="E81" s="755" t="str">
        <f>TEXT(F81,"[$-421]dddd")</f>
        <v>Selasa</v>
      </c>
      <c r="F81" s="750">
        <v>45132</v>
      </c>
      <c r="G81" s="760" t="str">
        <f>TEXT(F83,"[$-421]d mmmm yyyy")</f>
        <v>1 Agustus 2023</v>
      </c>
      <c r="H81" s="698" t="str">
        <f>TEXT(Input!F81,"[$-421]d mmmm yyyy")</f>
        <v>25 Juli 2023</v>
      </c>
      <c r="I81"/>
    </row>
    <row r="82" spans="1:9" ht="15" customHeight="1">
      <c r="A82" s="752"/>
      <c r="B82" s="791" t="s">
        <v>130</v>
      </c>
      <c r="D82" s="761" t="s">
        <v>131</v>
      </c>
      <c r="E82" s="755"/>
      <c r="F82" s="750">
        <v>45139</v>
      </c>
      <c r="G82" s="759"/>
      <c r="H82" s="698" t="str">
        <f>TEXT(Input!F82,"[$-421]d mmmm yyyy")</f>
        <v>1 Agustus 2023</v>
      </c>
      <c r="I82"/>
    </row>
    <row r="83" spans="1:9" ht="15" customHeight="1">
      <c r="A83" s="752"/>
      <c r="B83" s="753" t="s">
        <v>132</v>
      </c>
      <c r="D83" s="748" t="s">
        <v>133</v>
      </c>
      <c r="E83" s="755" t="str">
        <f>TEXT(F83,"[$-421]dddd")</f>
        <v>Selasa</v>
      </c>
      <c r="F83" s="750">
        <v>45139</v>
      </c>
      <c r="G83" s="792" t="s">
        <v>134</v>
      </c>
      <c r="H83" s="698" t="str">
        <f>TEXT(Input!F83,"[$-421]d mmmm yyyy")</f>
        <v>1 Agustus 2023</v>
      </c>
      <c r="I83"/>
    </row>
    <row r="84" spans="1:9" ht="15" customHeight="1">
      <c r="A84" s="752"/>
      <c r="B84" s="762" t="s">
        <v>135</v>
      </c>
      <c r="D84" s="748" t="s">
        <v>136</v>
      </c>
      <c r="E84" s="755" t="str">
        <f>TEXT(F84,"[$-421]dddd")</f>
        <v>Selasa</v>
      </c>
      <c r="F84" s="763">
        <f t="shared" ref="F84:F88" si="0">F83</f>
        <v>45139</v>
      </c>
      <c r="G84" s="756"/>
      <c r="H84" s="698" t="str">
        <f>TEXT(Input!F84,"[$-421]d mmmm yyyy")</f>
        <v>1 Agustus 2023</v>
      </c>
      <c r="I84"/>
    </row>
    <row r="85" spans="1:9" ht="15" customHeight="1">
      <c r="A85" s="752"/>
      <c r="B85" s="764" t="s">
        <v>137</v>
      </c>
      <c r="C85" s="765" t="s">
        <v>138</v>
      </c>
      <c r="D85" s="748" t="s">
        <v>139</v>
      </c>
      <c r="E85" s="755" t="str">
        <f>TEXT(F85,"[$-421]dddd")</f>
        <v>Selasa</v>
      </c>
      <c r="F85" s="763">
        <f t="shared" si="0"/>
        <v>45139</v>
      </c>
      <c r="G85" s="756"/>
      <c r="H85" s="698" t="str">
        <f>TEXT(Input!F85,"[$-421]d mmmm yyyy")</f>
        <v>1 Agustus 2023</v>
      </c>
      <c r="I85"/>
    </row>
    <row r="86" spans="1:9" ht="15" customHeight="1">
      <c r="A86" s="752"/>
      <c r="B86" s="764" t="s">
        <v>140</v>
      </c>
      <c r="C86" s="766"/>
      <c r="D86" s="748" t="s">
        <v>141</v>
      </c>
      <c r="E86" s="755" t="str">
        <f>TEXT(F86,"[$-421]dddd")</f>
        <v>Selasa</v>
      </c>
      <c r="F86" s="763">
        <f t="shared" si="0"/>
        <v>45139</v>
      </c>
      <c r="G86" s="756"/>
      <c r="H86" s="698" t="str">
        <f>TEXT(Input!F86,"[$-421]d mmmm yyyy")</f>
        <v>1 Agustus 2023</v>
      </c>
      <c r="I86"/>
    </row>
    <row r="87" spans="1:9" ht="15" customHeight="1">
      <c r="A87" s="752"/>
      <c r="B87" s="764" t="s">
        <v>142</v>
      </c>
      <c r="C87" s="766"/>
      <c r="D87" s="748" t="s">
        <v>143</v>
      </c>
      <c r="E87" s="755" t="str">
        <f>TEXT(F87,"[$-421]dddd")</f>
        <v>Selasa</v>
      </c>
      <c r="F87" s="763">
        <f t="shared" si="0"/>
        <v>45139</v>
      </c>
      <c r="G87" s="756"/>
      <c r="H87" s="698" t="str">
        <f>TEXT(Input!F87,"[$-421]d mmmm yyyy")</f>
        <v>1 Agustus 2023</v>
      </c>
      <c r="I87"/>
    </row>
    <row r="88" spans="1:9" ht="15" customHeight="1">
      <c r="A88" s="752"/>
      <c r="B88" s="764" t="s">
        <v>144</v>
      </c>
      <c r="C88" s="766"/>
      <c r="D88" s="748" t="s">
        <v>145</v>
      </c>
      <c r="E88" s="755"/>
      <c r="F88" s="763">
        <f t="shared" si="0"/>
        <v>45139</v>
      </c>
      <c r="G88" s="756"/>
      <c r="H88" s="698" t="str">
        <f>TEXT(Input!F88,"[$-421]d mmmm yyyy")</f>
        <v>1 Agustus 2023</v>
      </c>
      <c r="I88"/>
    </row>
    <row r="89" spans="1:9" ht="15" customHeight="1">
      <c r="A89" s="752"/>
      <c r="B89" s="764" t="s">
        <v>146</v>
      </c>
      <c r="C89" s="766"/>
      <c r="D89" s="748" t="s">
        <v>147</v>
      </c>
      <c r="E89" s="755"/>
      <c r="F89" s="763">
        <f>F87</f>
        <v>45139</v>
      </c>
      <c r="G89" s="756"/>
      <c r="H89" s="698" t="str">
        <f>TEXT(Input!F89,"[$-421]d mmmm yyyy")</f>
        <v>1 Agustus 2023</v>
      </c>
      <c r="I89"/>
    </row>
    <row r="90" spans="1:9" ht="15" customHeight="1">
      <c r="A90" s="752" t="s">
        <v>57</v>
      </c>
      <c r="B90" s="753" t="s">
        <v>148</v>
      </c>
      <c r="D90" s="748" t="s">
        <v>149</v>
      </c>
      <c r="E90" s="755" t="str">
        <f>TEXT(F90,"[$-421]dddd")</f>
        <v>Kamis</v>
      </c>
      <c r="F90" s="767">
        <v>45141</v>
      </c>
      <c r="G90" s="756"/>
      <c r="H90" s="698" t="str">
        <f>TEXT(Input!F90,"[$-421]d mmmm yyyy")</f>
        <v>3 Agustus 2023</v>
      </c>
      <c r="I90"/>
    </row>
    <row r="91" spans="1:9" ht="15" customHeight="1">
      <c r="A91" s="752"/>
      <c r="B91" s="762" t="s">
        <v>150</v>
      </c>
      <c r="D91" s="748" t="s">
        <v>151</v>
      </c>
      <c r="E91" s="755" t="str">
        <f>TEXT(F91,"[$-421]dddd")</f>
        <v>Kamis</v>
      </c>
      <c r="F91" s="767">
        <v>45141</v>
      </c>
      <c r="G91" s="756"/>
      <c r="H91" s="698" t="str">
        <f>TEXT(Input!F91,"[$-421]d mmmm yyyy")</f>
        <v>3 Agustus 2023</v>
      </c>
      <c r="I91"/>
    </row>
    <row r="92" spans="1:9" ht="15" customHeight="1">
      <c r="A92" s="752"/>
      <c r="B92" s="764" t="s">
        <v>152</v>
      </c>
      <c r="C92" s="768"/>
      <c r="D92" s="748" t="s">
        <v>153</v>
      </c>
      <c r="E92" s="755"/>
      <c r="F92" s="767">
        <v>45141</v>
      </c>
      <c r="G92" s="756"/>
      <c r="H92" s="698" t="str">
        <f>TEXT(Input!F92,"[$-421]d mmmm yyyy")</f>
        <v>3 Agustus 2023</v>
      </c>
      <c r="I92"/>
    </row>
    <row r="93" spans="1:9" ht="15" customHeight="1">
      <c r="A93" s="752"/>
      <c r="B93" s="861" t="s">
        <v>154</v>
      </c>
      <c r="D93" s="748"/>
      <c r="E93" s="755"/>
      <c r="F93" s="767">
        <f>F90+masa</f>
        <v>45171</v>
      </c>
      <c r="G93" s="756"/>
      <c r="H93" s="698" t="str">
        <f>TEXT(Input!F93,"[$-421]d mmmm yyyy")</f>
        <v>2 September 2023</v>
      </c>
      <c r="I93"/>
    </row>
    <row r="94" spans="1:9" ht="15" customHeight="1">
      <c r="A94" s="752"/>
      <c r="B94" s="861" t="s">
        <v>1406</v>
      </c>
      <c r="D94" s="748"/>
      <c r="E94" s="755"/>
      <c r="F94" s="767">
        <f>F90+masa</f>
        <v>45171</v>
      </c>
      <c r="G94" s="756"/>
      <c r="H94" s="698" t="str">
        <f>TEXT(Input!F94,"[$-421]d mmmm yyyy")</f>
        <v>2 September 2023</v>
      </c>
      <c r="I94"/>
    </row>
    <row r="95" spans="1:9" ht="15" customHeight="1">
      <c r="A95" s="752"/>
      <c r="B95" s="769" t="s">
        <v>156</v>
      </c>
      <c r="D95" s="770" t="s">
        <v>157</v>
      </c>
      <c r="E95" s="755"/>
      <c r="F95" s="763"/>
      <c r="G95" s="756"/>
      <c r="I95"/>
    </row>
    <row r="96" spans="1:9" ht="15" customHeight="1">
      <c r="A96" s="752"/>
      <c r="B96" s="771" t="s">
        <v>158</v>
      </c>
      <c r="D96" s="748" t="s">
        <v>159</v>
      </c>
      <c r="E96" s="755" t="str">
        <f>TEXT(F96,"[$-421]dddd")</f>
        <v>Kamis</v>
      </c>
      <c r="F96" s="763">
        <f>F91</f>
        <v>45141</v>
      </c>
      <c r="G96" s="756"/>
      <c r="H96" s="698" t="str">
        <f>TEXT(Input!F96,"[$-421]d mmmm yyyy")</f>
        <v>3 Agustus 2023</v>
      </c>
      <c r="I96"/>
    </row>
    <row r="97" spans="1:9" ht="15" customHeight="1">
      <c r="A97" s="752"/>
      <c r="B97" s="771" t="s">
        <v>160</v>
      </c>
      <c r="D97" s="748" t="s">
        <v>161</v>
      </c>
      <c r="E97" s="755" t="str">
        <f>TEXT(F97,"[$-421]dddd")</f>
        <v>Kamis</v>
      </c>
      <c r="F97" s="763">
        <f>F91</f>
        <v>45141</v>
      </c>
      <c r="G97" s="756"/>
      <c r="H97" s="698" t="str">
        <f>TEXT(Input!F97,"[$-421]d mmmm yyyy")</f>
        <v>3 Agustus 2023</v>
      </c>
      <c r="I97"/>
    </row>
    <row r="98" spans="1:9" ht="15" customHeight="1">
      <c r="A98" s="752"/>
      <c r="B98" s="769" t="s">
        <v>162</v>
      </c>
      <c r="D98" s="748"/>
      <c r="E98" s="755"/>
      <c r="F98" s="763">
        <f>F97</f>
        <v>45141</v>
      </c>
      <c r="G98" s="756"/>
      <c r="H98" s="698" t="str">
        <f>TEXT(Input!F98,"[$-421]d mmmm yyyy")</f>
        <v>3 Agustus 2023</v>
      </c>
      <c r="I98"/>
    </row>
    <row r="99" spans="1:9" ht="15" customHeight="1">
      <c r="A99" s="752"/>
      <c r="B99" s="769" t="s">
        <v>154</v>
      </c>
      <c r="D99" s="748"/>
      <c r="E99" s="755"/>
      <c r="F99" s="763">
        <f>F93</f>
        <v>45171</v>
      </c>
      <c r="G99" s="756"/>
      <c r="H99" s="698" t="str">
        <f>TEXT(Input!F99,"[$-421]d mmmm yyyy")</f>
        <v>2 September 2023</v>
      </c>
      <c r="I99"/>
    </row>
    <row r="100" spans="1:9" ht="15" customHeight="1">
      <c r="A100" s="752" t="s">
        <v>163</v>
      </c>
      <c r="B100" s="771" t="s">
        <v>164</v>
      </c>
      <c r="D100" s="748" t="s">
        <v>165</v>
      </c>
      <c r="E100" s="755"/>
      <c r="F100" s="767">
        <v>45170</v>
      </c>
      <c r="G100" s="756"/>
      <c r="H100" s="698" t="str">
        <f>TEXT(Input!F100,"[$-421]d mmmm yyyy")</f>
        <v>1 September 2023</v>
      </c>
      <c r="I100"/>
    </row>
    <row r="101" spans="1:9" ht="15" customHeight="1">
      <c r="A101" s="752"/>
      <c r="B101" s="771" t="s">
        <v>166</v>
      </c>
      <c r="D101" s="748" t="s">
        <v>167</v>
      </c>
      <c r="E101" s="755" t="str">
        <f>TEXT(F101,"[$-421]dddd")</f>
        <v>Jumat</v>
      </c>
      <c r="F101" s="767">
        <v>45170</v>
      </c>
      <c r="G101" s="756"/>
      <c r="H101" s="698" t="str">
        <f>TEXT(Input!F101,"[$-421]d mmmm yyyy")</f>
        <v>1 September 2023</v>
      </c>
      <c r="I101"/>
    </row>
    <row r="102" spans="1:9" ht="15" customHeight="1">
      <c r="A102" s="752" t="s">
        <v>57</v>
      </c>
      <c r="B102" s="772" t="s">
        <v>168</v>
      </c>
      <c r="D102" s="748" t="s">
        <v>169</v>
      </c>
      <c r="E102" s="755" t="str">
        <f>TEXT(F102,"[$-421]dddd")</f>
        <v>Sabtu</v>
      </c>
      <c r="F102" s="767">
        <v>45171</v>
      </c>
      <c r="G102" s="756"/>
      <c r="H102" s="698" t="str">
        <f>TEXT(Input!F102,"[$-421]d mmmm yyyy")</f>
        <v>2 September 2023</v>
      </c>
      <c r="I102"/>
    </row>
    <row r="103" spans="1:9" ht="15" customHeight="1">
      <c r="A103" s="752"/>
      <c r="B103" s="772" t="s">
        <v>170</v>
      </c>
      <c r="D103" s="748" t="s">
        <v>171</v>
      </c>
      <c r="E103" s="755" t="str">
        <f>TEXT(F103,"[$-421]dddd")</f>
        <v>Sabtu</v>
      </c>
      <c r="F103" s="767">
        <v>45171</v>
      </c>
      <c r="G103" s="756"/>
      <c r="H103" s="698" t="str">
        <f>TEXT(Input!F103,"[$-421]d mmmm yyyy")</f>
        <v>2 September 2023</v>
      </c>
      <c r="I103"/>
    </row>
    <row r="104" spans="1:9" ht="15" customHeight="1">
      <c r="A104" s="752"/>
      <c r="B104" s="772" t="s">
        <v>172</v>
      </c>
      <c r="D104" s="748" t="s">
        <v>173</v>
      </c>
      <c r="E104" s="755"/>
      <c r="F104" s="767">
        <v>45171</v>
      </c>
      <c r="G104" s="756"/>
      <c r="H104" s="698" t="str">
        <f>TEXT(Input!F104,"[$-421]d mmmm yyyy")</f>
        <v>2 September 2023</v>
      </c>
      <c r="I104"/>
    </row>
    <row r="105" spans="1:9" ht="15" customHeight="1">
      <c r="A105" s="846" t="s">
        <v>115</v>
      </c>
      <c r="B105" s="772" t="s">
        <v>174</v>
      </c>
      <c r="D105" s="748" t="s">
        <v>175</v>
      </c>
      <c r="E105" s="755"/>
      <c r="F105" s="767">
        <f>F102</f>
        <v>45171</v>
      </c>
      <c r="G105" s="849" t="s">
        <v>1357</v>
      </c>
      <c r="H105" s="698" t="str">
        <f>TEXT(Input!F105,"[$-421]d mmmm yyyy")</f>
        <v>2 September 2023</v>
      </c>
      <c r="I105"/>
    </row>
    <row r="106" spans="1:9" ht="15" customHeight="1">
      <c r="A106" s="846" t="s">
        <v>176</v>
      </c>
      <c r="B106" s="772" t="s">
        <v>177</v>
      </c>
      <c r="D106" s="748" t="s">
        <v>178</v>
      </c>
      <c r="E106" s="755" t="str">
        <f>TEXT(F106,"[$-421]dddd")</f>
        <v>Sabtu</v>
      </c>
      <c r="F106" s="767">
        <f>F102</f>
        <v>45171</v>
      </c>
      <c r="G106" s="849" t="s">
        <v>1357</v>
      </c>
      <c r="H106" s="698" t="str">
        <f>TEXT(Input!F106,"[$-421]d mmmm yyyy")</f>
        <v>2 September 2023</v>
      </c>
      <c r="I106"/>
    </row>
    <row r="107" spans="1:9" ht="15" customHeight="1">
      <c r="A107" s="752"/>
      <c r="B107" s="753" t="s">
        <v>179</v>
      </c>
      <c r="D107" s="748"/>
      <c r="E107" s="755"/>
      <c r="F107" s="763"/>
      <c r="G107" s="756"/>
      <c r="I107"/>
    </row>
    <row r="108" spans="1:9" ht="15" customHeight="1">
      <c r="A108" s="752" t="s">
        <v>115</v>
      </c>
      <c r="B108" s="772" t="s">
        <v>180</v>
      </c>
      <c r="D108" s="748" t="s">
        <v>181</v>
      </c>
      <c r="E108" s="755" t="str">
        <f>TEXT(F108,"[$-421]dddd")</f>
        <v>Senin</v>
      </c>
      <c r="F108" s="767">
        <v>45971</v>
      </c>
      <c r="G108" s="756"/>
      <c r="H108" s="698" t="str">
        <f>TEXT(Input!F108,"[$-421]d mmmm yyyy")</f>
        <v>10 November 2025</v>
      </c>
      <c r="I108"/>
    </row>
    <row r="109" spans="1:9" ht="15" customHeight="1">
      <c r="A109" s="752" t="s">
        <v>57</v>
      </c>
      <c r="B109" s="772" t="s">
        <v>1349</v>
      </c>
      <c r="D109" s="832" t="s">
        <v>1350</v>
      </c>
      <c r="E109" s="755" t="str">
        <f>TEXT(F109,"[$-421]dddd")</f>
        <v>Senin</v>
      </c>
      <c r="F109" s="767">
        <v>45971</v>
      </c>
      <c r="G109" s="756"/>
      <c r="H109" s="698" t="str">
        <f>TEXT(Input!F109,"[$-421]d mmmm yyyy")</f>
        <v>10 November 2025</v>
      </c>
      <c r="I109"/>
    </row>
    <row r="110" spans="1:9" ht="15" customHeight="1">
      <c r="A110" s="752" t="s">
        <v>57</v>
      </c>
      <c r="B110" s="753" t="s">
        <v>182</v>
      </c>
      <c r="D110" s="832" t="s">
        <v>1351</v>
      </c>
      <c r="E110" s="755" t="str">
        <f>TEXT(F110,"[$-421]dddd")</f>
        <v>Senin</v>
      </c>
      <c r="F110" s="767">
        <v>45971</v>
      </c>
      <c r="G110" s="756"/>
      <c r="H110" s="698" t="str">
        <f>TEXT(Input!F110,"[$-421]d mmmm yyyy")</f>
        <v>10 November 2025</v>
      </c>
      <c r="I110"/>
    </row>
    <row r="111" spans="1:9" ht="15" customHeight="1">
      <c r="A111" s="752" t="s">
        <v>183</v>
      </c>
      <c r="B111" s="753" t="s">
        <v>184</v>
      </c>
      <c r="D111" s="748"/>
      <c r="E111" s="755"/>
      <c r="F111" s="767">
        <f>F110</f>
        <v>45971</v>
      </c>
      <c r="G111" s="756"/>
      <c r="H111" s="698" t="str">
        <f>TEXT(Input!F111,"[$-421]d mmmm yyyy")</f>
        <v>10 November 2025</v>
      </c>
      <c r="I111"/>
    </row>
    <row r="112" spans="1:9" ht="15" customHeight="1">
      <c r="B112" s="191"/>
      <c r="C112" s="193"/>
      <c r="D112" s="195"/>
      <c r="E112" s="195"/>
      <c r="F112" s="195"/>
      <c r="G112" s="59"/>
      <c r="I112"/>
    </row>
    <row r="113" spans="1:22" s="18" customFormat="1" ht="21" customHeight="1">
      <c r="A113" s="773" t="s">
        <v>185</v>
      </c>
      <c r="B113" s="774"/>
      <c r="C113" s="774"/>
      <c r="D113" s="774"/>
      <c r="E113" s="774"/>
      <c r="F113" s="774"/>
      <c r="G113" s="774"/>
      <c r="H113" s="698"/>
      <c r="I113" s="698"/>
      <c r="J113"/>
      <c r="K113"/>
      <c r="L113"/>
      <c r="M113"/>
      <c r="N113"/>
      <c r="O113"/>
      <c r="P113"/>
      <c r="Q113"/>
      <c r="R113"/>
      <c r="S113"/>
      <c r="T113"/>
      <c r="U113"/>
      <c r="V113"/>
    </row>
    <row r="114" spans="1:22">
      <c r="A114" t="s">
        <v>186</v>
      </c>
      <c r="C114" s="775" t="s">
        <v>2</v>
      </c>
      <c r="D114" t="s">
        <v>187</v>
      </c>
    </row>
    <row r="115" spans="1:22">
      <c r="A115" t="s">
        <v>188</v>
      </c>
      <c r="C115" s="775" t="s">
        <v>2</v>
      </c>
      <c r="D115" t="s">
        <v>189</v>
      </c>
    </row>
    <row r="116" spans="1:22">
      <c r="A116" t="s">
        <v>14</v>
      </c>
      <c r="C116" s="775" t="s">
        <v>2</v>
      </c>
      <c r="D116" t="s">
        <v>9</v>
      </c>
    </row>
    <row r="117" spans="1:22">
      <c r="A117" t="s">
        <v>190</v>
      </c>
      <c r="C117" s="775" t="s">
        <v>2</v>
      </c>
      <c r="D117" t="s">
        <v>191</v>
      </c>
    </row>
    <row r="118" spans="1:22">
      <c r="A118" t="s">
        <v>192</v>
      </c>
      <c r="C118" s="775" t="s">
        <v>2</v>
      </c>
      <c r="D118" s="791" t="s">
        <v>193</v>
      </c>
    </row>
    <row r="119" spans="1:22" ht="14.25">
      <c r="A119" t="s">
        <v>87</v>
      </c>
      <c r="C119" s="775" t="s">
        <v>2</v>
      </c>
      <c r="D119" s="762" t="s">
        <v>194</v>
      </c>
    </row>
    <row r="120" spans="1:22">
      <c r="A120" t="s">
        <v>195</v>
      </c>
      <c r="C120" s="775" t="s">
        <v>2</v>
      </c>
      <c r="D120" t="s">
        <v>196</v>
      </c>
    </row>
    <row r="121" spans="1:22">
      <c r="A121" t="s">
        <v>197</v>
      </c>
      <c r="C121" s="775" t="s">
        <v>2</v>
      </c>
      <c r="D121" t="s">
        <v>198</v>
      </c>
    </row>
    <row r="122" spans="1:22">
      <c r="A122" t="s">
        <v>199</v>
      </c>
      <c r="C122" s="775" t="s">
        <v>2</v>
      </c>
      <c r="D122" s="793" t="s">
        <v>200</v>
      </c>
    </row>
    <row r="123" spans="1:22">
      <c r="A123" t="s">
        <v>201</v>
      </c>
      <c r="C123" s="775" t="s">
        <v>2</v>
      </c>
      <c r="D123" s="776" t="s">
        <v>202</v>
      </c>
    </row>
    <row r="124" spans="1:22">
      <c r="A124" t="s">
        <v>203</v>
      </c>
      <c r="C124" s="775" t="s">
        <v>2</v>
      </c>
      <c r="D124" s="791" t="s">
        <v>204</v>
      </c>
    </row>
    <row r="125" spans="1:22">
      <c r="A125" t="s">
        <v>205</v>
      </c>
      <c r="C125" s="775" t="s">
        <v>2</v>
      </c>
      <c r="D125" t="s">
        <v>206</v>
      </c>
    </row>
    <row r="126" spans="1:22" ht="14.25">
      <c r="A126" t="s">
        <v>207</v>
      </c>
      <c r="C126" s="775" t="s">
        <v>2</v>
      </c>
      <c r="D126" s="194">
        <v>199999800</v>
      </c>
      <c r="E126" s="777" t="str">
        <f>Uang!$A$61</f>
        <v>Seratus Sembilan Puluh Sembilan Juta Sembilan Ratus Sembilan Puluh Sembilan Ribu Delapan Ratus Rupiah</v>
      </c>
      <c r="F126" s="777"/>
    </row>
    <row r="127" spans="1:22" ht="14.25">
      <c r="A127" t="s">
        <v>208</v>
      </c>
      <c r="C127" s="775" t="s">
        <v>2</v>
      </c>
      <c r="D127" s="194">
        <f>Nego!$J$37</f>
        <v>69862000</v>
      </c>
      <c r="E127" s="777" t="str">
        <f>Uang!$A$21</f>
        <v>Enam Puluh Sembilan Juta Delapan Ratus Enam Puluh Dua Ribu Rupiah</v>
      </c>
      <c r="F127" s="777"/>
      <c r="G127" s="778"/>
      <c r="H127" s="698" t="str">
        <f>TEXT(D127,tiko1)</f>
        <v>69,862,000</v>
      </c>
    </row>
    <row r="128" spans="1:22">
      <c r="C128" s="775"/>
    </row>
    <row r="129" spans="1:22">
      <c r="C129" s="775"/>
    </row>
    <row r="130" spans="1:22" s="18" customFormat="1" ht="21" customHeight="1">
      <c r="A130" s="773" t="s">
        <v>209</v>
      </c>
      <c r="B130" s="774"/>
      <c r="C130" s="774"/>
      <c r="D130" s="774"/>
      <c r="E130" s="774"/>
      <c r="F130" s="774"/>
      <c r="G130" s="774"/>
      <c r="H130" s="698"/>
      <c r="I130" s="698"/>
      <c r="J130"/>
      <c r="K130"/>
      <c r="L130"/>
      <c r="M130"/>
      <c r="N130"/>
      <c r="O130"/>
      <c r="P130"/>
      <c r="Q130"/>
      <c r="R130"/>
      <c r="S130"/>
      <c r="T130"/>
      <c r="U130"/>
      <c r="V130"/>
    </row>
    <row r="131" spans="1:22" ht="15" customHeight="1">
      <c r="A131" s="107" t="s">
        <v>210</v>
      </c>
      <c r="B131" s="703"/>
      <c r="C131" s="185" t="s">
        <v>2</v>
      </c>
      <c r="D131" s="190" t="s">
        <v>211</v>
      </c>
      <c r="E131" s="190"/>
      <c r="F131" s="190"/>
      <c r="G131" s="705" t="s">
        <v>212</v>
      </c>
    </row>
    <row r="132" spans="1:22" ht="15" customHeight="1">
      <c r="A132" s="107" t="s">
        <v>213</v>
      </c>
      <c r="B132" s="703"/>
      <c r="C132" s="185" t="s">
        <v>2</v>
      </c>
      <c r="D132" s="189">
        <v>90</v>
      </c>
      <c r="E132" s="779" t="str">
        <f>Uang!A101</f>
        <v>sembilan puluh</v>
      </c>
      <c r="F132" s="777"/>
      <c r="G132" s="705" t="s">
        <v>214</v>
      </c>
    </row>
    <row r="133" spans="1:22" ht="15" customHeight="1">
      <c r="A133" s="107" t="s">
        <v>215</v>
      </c>
      <c r="B133" s="703"/>
      <c r="C133" s="185" t="s">
        <v>2</v>
      </c>
      <c r="D133" s="189" t="str">
        <f>lingkup</f>
        <v>Pengecatan tembok eksterior dan panel ACP Gedung Kantor BPKAD</v>
      </c>
      <c r="E133" s="190"/>
      <c r="F133" s="190"/>
      <c r="G133" s="59"/>
    </row>
    <row r="134" spans="1:22" ht="15" customHeight="1">
      <c r="A134" s="107"/>
      <c r="B134" s="703"/>
      <c r="C134" s="185"/>
      <c r="D134" s="780" t="s">
        <v>216</v>
      </c>
      <c r="E134" s="190"/>
      <c r="F134" s="190"/>
      <c r="G134" s="59"/>
    </row>
    <row r="135" spans="1:22" ht="14.25">
      <c r="A135" t="s">
        <v>217</v>
      </c>
      <c r="C135" s="775" t="s">
        <v>2</v>
      </c>
      <c r="D135" s="131">
        <f>D127</f>
        <v>69862000</v>
      </c>
      <c r="E135" s="777" t="str">
        <f>Uang!$A$41</f>
        <v>Enam Puluh Sembilan Juta Delapan Ratus Enam Puluh Dua Ribu Rupiah</v>
      </c>
      <c r="F135" s="777"/>
      <c r="G135" s="777"/>
    </row>
    <row r="136" spans="1:22">
      <c r="C136" s="775"/>
    </row>
    <row r="137" spans="1:22" ht="15" customHeight="1">
      <c r="A137" s="107" t="s">
        <v>218</v>
      </c>
      <c r="B137" s="703"/>
      <c r="C137" s="185" t="s">
        <v>2</v>
      </c>
      <c r="D137" s="190" t="s">
        <v>219</v>
      </c>
      <c r="E137" s="190"/>
      <c r="F137" s="190"/>
      <c r="G137" s="59"/>
    </row>
    <row r="138" spans="1:22" ht="15" customHeight="1">
      <c r="A138" s="107" t="s">
        <v>220</v>
      </c>
      <c r="B138" s="703"/>
      <c r="C138" s="185" t="s">
        <v>2</v>
      </c>
      <c r="D138" s="780" t="s">
        <v>221</v>
      </c>
      <c r="E138" s="781">
        <v>30</v>
      </c>
      <c r="F138" s="777" t="str">
        <f>Uang!A121</f>
        <v>tiga puluh</v>
      </c>
      <c r="G138" s="842" t="s">
        <v>1354</v>
      </c>
    </row>
    <row r="139" spans="1:22" ht="15" customHeight="1">
      <c r="A139" s="107"/>
      <c r="B139" s="703"/>
      <c r="C139" s="185"/>
      <c r="D139" s="780"/>
      <c r="E139" s="782"/>
      <c r="G139" s="780" t="s">
        <v>222</v>
      </c>
    </row>
    <row r="140" spans="1:22" ht="15" customHeight="1">
      <c r="A140" s="107" t="s">
        <v>155</v>
      </c>
      <c r="B140" s="703"/>
      <c r="C140" s="185" t="s">
        <v>2</v>
      </c>
      <c r="D140" s="63">
        <f>F94</f>
        <v>45171</v>
      </c>
      <c r="E140" s="190"/>
      <c r="F140" s="190"/>
      <c r="G140" s="59"/>
    </row>
    <row r="141" spans="1:22" ht="15" customHeight="1">
      <c r="A141" s="107" t="s">
        <v>154</v>
      </c>
      <c r="B141" s="703"/>
      <c r="C141" s="185" t="s">
        <v>2</v>
      </c>
      <c r="D141" s="63">
        <f>F93</f>
        <v>45171</v>
      </c>
      <c r="E141" s="190"/>
      <c r="F141" s="190"/>
      <c r="G141" s="59"/>
    </row>
    <row r="143" spans="1:22" s="18" customFormat="1" ht="21" customHeight="1">
      <c r="A143" s="773" t="s">
        <v>223</v>
      </c>
      <c r="B143" s="774"/>
      <c r="C143" s="774"/>
      <c r="D143" s="774"/>
      <c r="E143" s="774"/>
      <c r="F143" s="774"/>
      <c r="G143" s="774"/>
      <c r="H143" s="698"/>
      <c r="I143" s="698"/>
      <c r="J143"/>
      <c r="K143"/>
      <c r="L143"/>
      <c r="M143"/>
      <c r="N143"/>
      <c r="O143"/>
      <c r="P143"/>
      <c r="Q143"/>
      <c r="R143"/>
      <c r="S143"/>
      <c r="T143"/>
      <c r="U143"/>
      <c r="V143"/>
    </row>
    <row r="144" spans="1:22" ht="14.25">
      <c r="A144" s="783" t="s">
        <v>163</v>
      </c>
      <c r="B144" s="784"/>
      <c r="C144" s="785"/>
      <c r="D144" s="784"/>
      <c r="E144" s="786"/>
      <c r="F144" s="786"/>
      <c r="G144" s="786"/>
    </row>
    <row r="145" spans="1:22">
      <c r="A145" s="784"/>
      <c r="B145" s="784" t="s">
        <v>224</v>
      </c>
      <c r="C145" s="785" t="s">
        <v>2</v>
      </c>
      <c r="D145" s="794" t="s">
        <v>225</v>
      </c>
      <c r="E145" s="786"/>
      <c r="F145" s="786"/>
      <c r="G145" s="786"/>
    </row>
    <row r="146" spans="1:22">
      <c r="A146" s="786"/>
      <c r="B146" s="786"/>
      <c r="C146" s="787"/>
      <c r="D146" s="786"/>
      <c r="E146" s="786"/>
      <c r="F146" s="786"/>
      <c r="G146" s="786"/>
    </row>
    <row r="147" spans="1:22">
      <c r="A147" s="786"/>
      <c r="B147" s="786"/>
      <c r="C147" s="787"/>
      <c r="D147" s="786"/>
      <c r="E147" s="786"/>
      <c r="F147" s="786"/>
      <c r="G147" s="786"/>
    </row>
    <row r="148" spans="1:22" ht="14.25">
      <c r="A148" s="739" t="s">
        <v>226</v>
      </c>
      <c r="B148" s="786"/>
      <c r="C148" s="787"/>
      <c r="D148" s="786"/>
      <c r="E148" s="786"/>
      <c r="F148" s="786"/>
      <c r="G148" s="786"/>
    </row>
    <row r="149" spans="1:22">
      <c r="A149" s="786"/>
      <c r="B149" s="786" t="s">
        <v>227</v>
      </c>
      <c r="C149" s="787" t="s">
        <v>2</v>
      </c>
      <c r="D149" s="795" t="s">
        <v>228</v>
      </c>
      <c r="E149" s="786"/>
      <c r="F149" s="786"/>
      <c r="G149" s="786"/>
    </row>
    <row r="150" spans="1:22">
      <c r="A150" s="786"/>
      <c r="B150" s="786" t="s">
        <v>195</v>
      </c>
      <c r="C150" s="787" t="s">
        <v>2</v>
      </c>
      <c r="D150" s="795" t="s">
        <v>229</v>
      </c>
      <c r="E150" s="786"/>
      <c r="F150" s="786"/>
      <c r="G150" s="786"/>
    </row>
    <row r="151" spans="1:22">
      <c r="A151" s="786"/>
      <c r="B151" s="786" t="s">
        <v>50</v>
      </c>
      <c r="C151" s="787" t="s">
        <v>2</v>
      </c>
      <c r="D151" s="795" t="s">
        <v>1359</v>
      </c>
      <c r="E151" s="786"/>
      <c r="F151" s="786"/>
      <c r="G151" s="786"/>
    </row>
    <row r="152" spans="1:22">
      <c r="A152" s="786"/>
      <c r="B152" s="786" t="s">
        <v>190</v>
      </c>
      <c r="C152" s="787" t="s">
        <v>2</v>
      </c>
      <c r="D152" s="795" t="s">
        <v>230</v>
      </c>
      <c r="E152" s="786"/>
      <c r="F152" s="786"/>
      <c r="G152" s="786"/>
    </row>
    <row r="153" spans="1:22">
      <c r="C153" s="775"/>
    </row>
    <row r="154" spans="1:22" ht="14.25">
      <c r="A154" s="107" t="s">
        <v>231</v>
      </c>
      <c r="C154" s="775"/>
    </row>
    <row r="155" spans="1:22">
      <c r="B155" t="s">
        <v>232</v>
      </c>
      <c r="C155" s="775" t="s">
        <v>2</v>
      </c>
      <c r="D155" s="791" t="s">
        <v>233</v>
      </c>
    </row>
    <row r="156" spans="1:22">
      <c r="B156" t="s">
        <v>41</v>
      </c>
      <c r="C156" s="775" t="s">
        <v>2</v>
      </c>
      <c r="D156" s="791" t="s">
        <v>234</v>
      </c>
    </row>
    <row r="157" spans="1:22">
      <c r="B157" t="s">
        <v>50</v>
      </c>
      <c r="C157" s="775" t="s">
        <v>2</v>
      </c>
      <c r="D157" s="791" t="s">
        <v>235</v>
      </c>
    </row>
    <row r="158" spans="1:22">
      <c r="C158" s="775"/>
    </row>
    <row r="159" spans="1:22" s="18" customFormat="1" ht="21" customHeight="1">
      <c r="A159" s="773" t="s">
        <v>236</v>
      </c>
      <c r="B159" s="774"/>
      <c r="C159" s="774"/>
      <c r="D159" s="774"/>
      <c r="E159" s="774"/>
      <c r="F159" s="774"/>
      <c r="G159" s="774"/>
      <c r="H159" s="698"/>
      <c r="I159" s="698"/>
      <c r="J159"/>
      <c r="K159"/>
      <c r="L159"/>
      <c r="M159"/>
      <c r="N159"/>
      <c r="O159"/>
      <c r="P159"/>
      <c r="Q159"/>
      <c r="R159"/>
      <c r="S159"/>
      <c r="T159"/>
      <c r="U159"/>
      <c r="V159"/>
    </row>
    <row r="160" spans="1:22">
      <c r="A160" t="s">
        <v>19</v>
      </c>
      <c r="B160" t="s">
        <v>237</v>
      </c>
      <c r="C160" s="775" t="s">
        <v>2</v>
      </c>
      <c r="D160" s="860" t="s">
        <v>238</v>
      </c>
    </row>
    <row r="161" spans="1:9">
      <c r="B161" t="s">
        <v>239</v>
      </c>
      <c r="C161" s="775" t="s">
        <v>2</v>
      </c>
      <c r="D161" s="791" t="s">
        <v>240</v>
      </c>
    </row>
    <row r="162" spans="1:9">
      <c r="C162" s="775"/>
    </row>
    <row r="163" spans="1:9">
      <c r="A163" t="s">
        <v>241</v>
      </c>
      <c r="C163" s="775"/>
    </row>
    <row r="164" spans="1:9">
      <c r="B164" t="s">
        <v>242</v>
      </c>
      <c r="C164" s="775" t="s">
        <v>2</v>
      </c>
      <c r="D164" s="791" t="s">
        <v>243</v>
      </c>
    </row>
    <row r="165" spans="1:9">
      <c r="B165" t="s">
        <v>244</v>
      </c>
      <c r="C165" s="775" t="s">
        <v>2</v>
      </c>
      <c r="D165" s="860" t="s">
        <v>1404</v>
      </c>
    </row>
    <row r="166" spans="1:9">
      <c r="B166" t="s">
        <v>245</v>
      </c>
      <c r="C166" s="775" t="s">
        <v>2</v>
      </c>
      <c r="D166" t="str">
        <f>bu_nama</f>
        <v>PT. DARUSSALAM MEDIA GROUP</v>
      </c>
    </row>
    <row r="168" spans="1:9" ht="12.75">
      <c r="A168" t="s">
        <v>246</v>
      </c>
      <c r="H168"/>
      <c r="I168"/>
    </row>
    <row r="169" spans="1:9" ht="12.75">
      <c r="B169" t="s">
        <v>247</v>
      </c>
      <c r="C169" s="775" t="s">
        <v>2</v>
      </c>
      <c r="D169" t="s">
        <v>248</v>
      </c>
      <c r="H169"/>
      <c r="I169"/>
    </row>
    <row r="170" spans="1:9" ht="12.75">
      <c r="B170" t="s">
        <v>249</v>
      </c>
      <c r="C170" s="775" t="s">
        <v>2</v>
      </c>
      <c r="D170" t="s">
        <v>250</v>
      </c>
      <c r="H170"/>
      <c r="I170"/>
    </row>
    <row r="171" spans="1:9" ht="12.75">
      <c r="B171" t="s">
        <v>41</v>
      </c>
      <c r="C171" s="775" t="s">
        <v>2</v>
      </c>
      <c r="D171" t="s">
        <v>251</v>
      </c>
      <c r="H171"/>
      <c r="I171"/>
    </row>
  </sheetData>
  <mergeCells count="2">
    <mergeCell ref="A73:C73"/>
    <mergeCell ref="F41:F48"/>
  </mergeCells>
  <dataValidations count="15">
    <dataValidation type="list" allowBlank="1" showInputMessage="1" showErrorMessage="1" sqref="D3" xr:uid="{00000000-0002-0000-0000-000000000000}">
      <formula1>"Barang, Jasa Lainnya, Jasa Konsultansi, Pekerjaan Konstruksi"</formula1>
    </dataValidation>
    <dataValidation type="list" allowBlank="1" sqref="D14" xr:uid="{00000000-0002-0000-0000-000001000000}">
      <formula1>"Harga Satuan, Lumsum, Gabungan, Waktu Penugasan"</formula1>
    </dataValidation>
    <dataValidation type="list" allowBlank="1" sqref="D15" xr:uid="{00000000-0002-0000-0000-000002000000}">
      <formula1>"Surat Perjanjian Kerja, Surat Perjanjian, Surat Pesanan"</formula1>
    </dataValidation>
    <dataValidation type="list" allowBlank="1" sqref="D26 D34" xr:uid="{00000000-0002-0000-0000-000003000000}">
      <formula1>$F$23:$F$28</formula1>
    </dataValidation>
    <dataValidation type="list" allowBlank="1" sqref="D29" xr:uid="{00000000-0002-0000-0000-000004000000}">
      <formula1>"Pengguna Anggaran, Kuasa Pengguna Anggaran"</formula1>
    </dataValidation>
    <dataValidation type="list" allowBlank="1" sqref="D50" xr:uid="{00000000-0002-0000-0000-000005000000}">
      <formula1>"Pejabat Pengadaan, Kelompok Kerja Pemilihan"</formula1>
    </dataValidation>
    <dataValidation type="list" allowBlank="1" sqref="D66" xr:uid="{00000000-0002-0000-0000-000006000000}">
      <formula1>"secara manual, melalui e-Pengadaan Langsung"</formula1>
    </dataValidation>
    <dataValidation type="list" allowBlank="1" sqref="D67" xr:uid="{00000000-0002-0000-0000-000007000000}">
      <formula1>"Pengadaan Langsung, e-Purchasing, Penunjukan Langsung, Pengadaan Khusus, Pengadaan Barang/Jasa Yang Dikecualikan, Pengadaan Barang/Jasa Darurat"</formula1>
    </dataValidation>
    <dataValidation type="list" allowBlank="1" sqref="D68" xr:uid="{00000000-0002-0000-0000-000008000000}">
      <formula1>"Pascakualifikasi, Prakualifikasi"</formula1>
    </dataValidation>
    <dataValidation type="list" allowBlank="1" sqref="D69" xr:uid="{00000000-0002-0000-0000-000009000000}">
      <formula1>"Satu File, Dua File, Dua Tahap, Satu Sampul, Dua Sampul"</formula1>
    </dataValidation>
    <dataValidation type="list" allowBlank="1" showInputMessage="1" sqref="D70" xr:uid="{00000000-0002-0000-0000-00000A000000}">
      <formula1>"Harga Terendah, Biaya Terendah, Pagu Anggaran"</formula1>
    </dataValidation>
    <dataValidation type="list" allowBlank="1" showInputMessage="1" showErrorMessage="1" sqref="D137" xr:uid="{00000000-0002-0000-0000-00000B000000}">
      <formula1>"Sekaligus, Bulanan, Termin"</formula1>
    </dataValidation>
    <dataValidation type="list" allowBlank="1" showInputMessage="1" showErrorMessage="1" sqref="D138" xr:uid="{00000000-0002-0000-0000-00000C000000}">
      <formula1>"Diberikan, Tidak Diberikan"</formula1>
    </dataValidation>
    <dataValidation allowBlank="1" sqref="F66:F67" xr:uid="{00000000-0002-0000-0000-00000D000000}"/>
    <dataValidation type="list" allowBlank="1" sqref="D41" xr:uid="{8910A15D-1458-4278-AF6F-757A1B080A19}">
      <formula1>"Pejabat Pemeriksa Hasil Pekerjaan, Pejabat Pelaksana Teknis Kegiatan, Panitia Pemeriksa Hasil Pekerjaan"</formula1>
    </dataValidation>
  </dataValidations>
  <hyperlinks>
    <hyperlink ref="D119" r:id="rId1" xr:uid="{00000000-0004-0000-0000-000000000000}"/>
    <hyperlink ref="D57" r:id="rId2" xr:uid="{00000000-0004-0000-0000-000001000000}"/>
    <hyperlink ref="B76" location="PPK.Srt1!A1" display="=&quot;Surat PPK ke &quot;&amp;G49" xr:uid="{00000000-0004-0000-0000-000002000000}"/>
    <hyperlink ref="B79" location="PP.Srt1!A5" display="Undangan" xr:uid="{00000000-0004-0000-0000-000003000000}"/>
    <hyperlink ref="B80" location="PP.Srt1!A51" display="Penjelasan (Penunjukan)" xr:uid="{00000000-0004-0000-0000-000004000000}"/>
    <hyperlink ref="B83" location="PP.Srt1!A91" display="Pembukaan" xr:uid="{00000000-0004-0000-0000-000005000000}"/>
    <hyperlink ref="B85" location="Nego!A1" display="Klarifikasi/Negosiasi" xr:uid="{00000000-0004-0000-0000-000006000000}"/>
    <hyperlink ref="B86" location="PP.Srt2!A39" display="BAHPL" xr:uid="{00000000-0004-0000-0000-000007000000}"/>
    <hyperlink ref="B87" location="PP.Srt2!A87" display="Penetapan" xr:uid="{00000000-0004-0000-0000-000008000000}"/>
    <hyperlink ref="B88" location="PP.Srt2!A128" display="Pengumuman" xr:uid="{00000000-0004-0000-0000-000009000000}"/>
    <hyperlink ref="B89" location="PP.Srt2!A162" display="Laporan" xr:uid="{00000000-0004-0000-0000-00000A000000}"/>
    <hyperlink ref="B90" location="PPK.B!A1" display="SPPBJ" xr:uid="{00000000-0004-0000-0000-00000B000000}"/>
    <hyperlink ref="B92" location="PPK.B!A43" display="Barang.SPP" xr:uid="{00000000-0004-0000-0000-00000C000000}"/>
    <hyperlink ref="B102" location="PPK.B!A110" display="BA Hasil Pemeriksaan" xr:uid="{00000000-0004-0000-0000-00000D000000}"/>
    <hyperlink ref="B103" location="PPK.B!A166" display="BA Serah Terima" xr:uid="{00000000-0004-0000-0000-00000E000000}"/>
    <hyperlink ref="B104" location="PPK.B!A228" display="Penyerahan Hasil" xr:uid="{00000000-0004-0000-0000-00000F000000}"/>
    <hyperlink ref="B105" location="PA.Srt2!A1" display="Perintah PjPHP/PPHP" xr:uid="{00000000-0004-0000-0000-000010000000}"/>
    <hyperlink ref="B74" location="PA.Srt1!A4" display="Surat PA/KPA ke PPK" xr:uid="{00000000-0004-0000-0000-000011000000}"/>
    <hyperlink ref="B106" location="PHP!A1" display="BA PHP" xr:uid="{00000000-0004-0000-0000-000012000000}"/>
    <hyperlink ref="B107" location="PHP!A42" display="lampiran simak" xr:uid="{00000000-0004-0000-0000-000013000000}"/>
    <hyperlink ref="B110" location="Bayar!A1" display="BA Pembayaran" xr:uid="{00000000-0004-0000-0000-000014000000}"/>
    <hyperlink ref="B108" location="PA.Srt2!A1" display="BAST Pekerjaan" xr:uid="{00000000-0004-0000-0000-000015000000}"/>
    <hyperlink ref="B111" location="Bayar!A54" display="Kuitansi" xr:uid="{00000000-0004-0000-0000-000016000000}"/>
    <hyperlink ref="B96" location="PPK.PK!A42" display="PK.BA.Serah Lokasi" xr:uid="{00000000-0004-0000-0000-000017000000}"/>
    <hyperlink ref="B97" location="PPK.PK!A86" display="PK.SPMK" xr:uid="{00000000-0004-0000-0000-000018000000}"/>
    <hyperlink ref="B100" location="Srt2.PK!A4" display="Pengajuan Serah Terima" xr:uid="{00000000-0004-0000-0000-000019000000}"/>
    <hyperlink ref="B101" location="Srt2.PK!A40" display="BA.Kemajuan" xr:uid="{00000000-0004-0000-0000-00001A000000}"/>
    <hyperlink ref="B75" location="PPK.Pers!A1" display="Penetapan DPP" xr:uid="{00000000-0004-0000-0000-00001B000000}"/>
    <hyperlink ref="B78" location="PP.Rev!A80" display="Persiapan Pemilihan" xr:uid="{00000000-0004-0000-0000-00001C000000}"/>
    <hyperlink ref="B84" location="PP.Eval.B!A1" display="Evaluasi" xr:uid="{00000000-0004-0000-0000-00001D000000}"/>
    <hyperlink ref="C85" location="PP.Srt2!A5" display="BA" xr:uid="{00000000-0004-0000-0000-00001E000000}"/>
    <hyperlink ref="B91" location="spk.B!A1" display="Kontrak,SPK.B/SP" xr:uid="{00000000-0004-0000-0000-00001F000000}"/>
    <hyperlink ref="B77" location="PP.Rev!A1" display="BA Reviu" xr:uid="{00000000-0004-0000-0000-000020000000}"/>
    <hyperlink ref="B109" location="ResKon!A1" display="Resume Kontrak" xr:uid="{803A24F7-FCF8-43B3-AA24-D209C4B16AC2}"/>
  </hyperlinks>
  <printOptions horizontalCentered="1"/>
  <pageMargins left="0.54" right="0.45" top="0.36" bottom="0.34" header="0.31496062992126" footer="0.31496062992126"/>
  <pageSetup paperSize="9" fitToHeight="0" orientation="portrait" horizontalDpi="300" verticalDpi="300" r:id="rId3"/>
  <rowBreaks count="2" manualBreakCount="2">
    <brk id="49" max="16383" man="1"/>
    <brk id="112" max="16383" man="1"/>
  </rowBreaks>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sheetPr>
  <dimension ref="A1:N60"/>
  <sheetViews>
    <sheetView view="pageBreakPreview" zoomScale="130" zoomScaleNormal="100" workbookViewId="0">
      <selection activeCell="G23" sqref="G23:J23"/>
    </sheetView>
  </sheetViews>
  <sheetFormatPr defaultColWidth="9" defaultRowHeight="14.25"/>
  <cols>
    <col min="1" max="1" width="4.53125" style="18" customWidth="1"/>
    <col min="2" max="2" width="5.796875" style="18" customWidth="1"/>
    <col min="3" max="3" width="2" style="18" customWidth="1"/>
    <col min="4" max="4" width="5.19921875" style="18" customWidth="1"/>
    <col min="5" max="5" width="1.86328125" style="18" customWidth="1"/>
    <col min="6" max="6" width="3.796875" style="18" customWidth="1"/>
    <col min="7" max="7" width="19.53125" style="18" customWidth="1"/>
    <col min="8" max="8" width="1.53125" style="18" customWidth="1"/>
    <col min="9" max="10" width="9.86328125" style="18" customWidth="1"/>
    <col min="11" max="11" width="10.796875" style="18" customWidth="1"/>
    <col min="12" max="12" width="12.86328125" style="18" customWidth="1"/>
    <col min="13" max="13" width="3.6640625" style="18" customWidth="1"/>
    <col min="14" max="14" width="15" style="18" customWidth="1"/>
    <col min="15" max="258" width="9" style="18"/>
    <col min="259" max="259" width="9.86328125" style="18" customWidth="1"/>
    <col min="260" max="260" width="2" style="18" customWidth="1"/>
    <col min="261" max="261" width="12.53125" style="18" customWidth="1"/>
    <col min="262" max="262" width="1.86328125" style="18" customWidth="1"/>
    <col min="263" max="263" width="2" style="18" customWidth="1"/>
    <col min="264" max="264" width="16" style="18" customWidth="1"/>
    <col min="265" max="265" width="26" style="18" customWidth="1"/>
    <col min="266" max="266" width="9" style="18"/>
    <col min="267" max="267" width="9" style="18" customWidth="1"/>
    <col min="268" max="514" width="9" style="18"/>
    <col min="515" max="515" width="9.86328125" style="18" customWidth="1"/>
    <col min="516" max="516" width="2" style="18" customWidth="1"/>
    <col min="517" max="517" width="12.53125" style="18" customWidth="1"/>
    <col min="518" max="518" width="1.86328125" style="18" customWidth="1"/>
    <col min="519" max="519" width="2" style="18" customWidth="1"/>
    <col min="520" max="520" width="16" style="18" customWidth="1"/>
    <col min="521" max="521" width="26" style="18" customWidth="1"/>
    <col min="522" max="522" width="9" style="18"/>
    <col min="523" max="523" width="9" style="18" customWidth="1"/>
    <col min="524" max="770" width="9" style="18"/>
    <col min="771" max="771" width="9.86328125" style="18" customWidth="1"/>
    <col min="772" max="772" width="2" style="18" customWidth="1"/>
    <col min="773" max="773" width="12.53125" style="18" customWidth="1"/>
    <col min="774" max="774" width="1.86328125" style="18" customWidth="1"/>
    <col min="775" max="775" width="2" style="18" customWidth="1"/>
    <col min="776" max="776" width="16" style="18" customWidth="1"/>
    <col min="777" max="777" width="26" style="18" customWidth="1"/>
    <col min="778" max="778" width="9" style="18"/>
    <col min="779" max="779" width="9" style="18" customWidth="1"/>
    <col min="780" max="1026" width="9" style="18"/>
    <col min="1027" max="1027" width="9.86328125" style="18" customWidth="1"/>
    <col min="1028" max="1028" width="2" style="18" customWidth="1"/>
    <col min="1029" max="1029" width="12.53125" style="18" customWidth="1"/>
    <col min="1030" max="1030" width="1.86328125" style="18" customWidth="1"/>
    <col min="1031" max="1031" width="2" style="18" customWidth="1"/>
    <col min="1032" max="1032" width="16" style="18" customWidth="1"/>
    <col min="1033" max="1033" width="26" style="18" customWidth="1"/>
    <col min="1034" max="1034" width="9" style="18"/>
    <col min="1035" max="1035" width="9" style="18" customWidth="1"/>
    <col min="1036" max="1282" width="9" style="18"/>
    <col min="1283" max="1283" width="9.86328125" style="18" customWidth="1"/>
    <col min="1284" max="1284" width="2" style="18" customWidth="1"/>
    <col min="1285" max="1285" width="12.53125" style="18" customWidth="1"/>
    <col min="1286" max="1286" width="1.86328125" style="18" customWidth="1"/>
    <col min="1287" max="1287" width="2" style="18" customWidth="1"/>
    <col min="1288" max="1288" width="16" style="18" customWidth="1"/>
    <col min="1289" max="1289" width="26" style="18" customWidth="1"/>
    <col min="1290" max="1290" width="9" style="18"/>
    <col min="1291" max="1291" width="9" style="18" customWidth="1"/>
    <col min="1292" max="1538" width="9" style="18"/>
    <col min="1539" max="1539" width="9.86328125" style="18" customWidth="1"/>
    <col min="1540" max="1540" width="2" style="18" customWidth="1"/>
    <col min="1541" max="1541" width="12.53125" style="18" customWidth="1"/>
    <col min="1542" max="1542" width="1.86328125" style="18" customWidth="1"/>
    <col min="1543" max="1543" width="2" style="18" customWidth="1"/>
    <col min="1544" max="1544" width="16" style="18" customWidth="1"/>
    <col min="1545" max="1545" width="26" style="18" customWidth="1"/>
    <col min="1546" max="1546" width="9" style="18"/>
    <col min="1547" max="1547" width="9" style="18" customWidth="1"/>
    <col min="1548" max="1794" width="9" style="18"/>
    <col min="1795" max="1795" width="9.86328125" style="18" customWidth="1"/>
    <col min="1796" max="1796" width="2" style="18" customWidth="1"/>
    <col min="1797" max="1797" width="12.53125" style="18" customWidth="1"/>
    <col min="1798" max="1798" width="1.86328125" style="18" customWidth="1"/>
    <col min="1799" max="1799" width="2" style="18" customWidth="1"/>
    <col min="1800" max="1800" width="16" style="18" customWidth="1"/>
    <col min="1801" max="1801" width="26" style="18" customWidth="1"/>
    <col min="1802" max="1802" width="9" style="18"/>
    <col min="1803" max="1803" width="9" style="18" customWidth="1"/>
    <col min="1804" max="2050" width="9" style="18"/>
    <col min="2051" max="2051" width="9.86328125" style="18" customWidth="1"/>
    <col min="2052" max="2052" width="2" style="18" customWidth="1"/>
    <col min="2053" max="2053" width="12.53125" style="18" customWidth="1"/>
    <col min="2054" max="2054" width="1.86328125" style="18" customWidth="1"/>
    <col min="2055" max="2055" width="2" style="18" customWidth="1"/>
    <col min="2056" max="2056" width="16" style="18" customWidth="1"/>
    <col min="2057" max="2057" width="26" style="18" customWidth="1"/>
    <col min="2058" max="2058" width="9" style="18"/>
    <col min="2059" max="2059" width="9" style="18" customWidth="1"/>
    <col min="2060" max="2306" width="9" style="18"/>
    <col min="2307" max="2307" width="9.86328125" style="18" customWidth="1"/>
    <col min="2308" max="2308" width="2" style="18" customWidth="1"/>
    <col min="2309" max="2309" width="12.53125" style="18" customWidth="1"/>
    <col min="2310" max="2310" width="1.86328125" style="18" customWidth="1"/>
    <col min="2311" max="2311" width="2" style="18" customWidth="1"/>
    <col min="2312" max="2312" width="16" style="18" customWidth="1"/>
    <col min="2313" max="2313" width="26" style="18" customWidth="1"/>
    <col min="2314" max="2314" width="9" style="18"/>
    <col min="2315" max="2315" width="9" style="18" customWidth="1"/>
    <col min="2316" max="2562" width="9" style="18"/>
    <col min="2563" max="2563" width="9.86328125" style="18" customWidth="1"/>
    <col min="2564" max="2564" width="2" style="18" customWidth="1"/>
    <col min="2565" max="2565" width="12.53125" style="18" customWidth="1"/>
    <col min="2566" max="2566" width="1.86328125" style="18" customWidth="1"/>
    <col min="2567" max="2567" width="2" style="18" customWidth="1"/>
    <col min="2568" max="2568" width="16" style="18" customWidth="1"/>
    <col min="2569" max="2569" width="26" style="18" customWidth="1"/>
    <col min="2570" max="2570" width="9" style="18"/>
    <col min="2571" max="2571" width="9" style="18" customWidth="1"/>
    <col min="2572" max="2818" width="9" style="18"/>
    <col min="2819" max="2819" width="9.86328125" style="18" customWidth="1"/>
    <col min="2820" max="2820" width="2" style="18" customWidth="1"/>
    <col min="2821" max="2821" width="12.53125" style="18" customWidth="1"/>
    <col min="2822" max="2822" width="1.86328125" style="18" customWidth="1"/>
    <col min="2823" max="2823" width="2" style="18" customWidth="1"/>
    <col min="2824" max="2824" width="16" style="18" customWidth="1"/>
    <col min="2825" max="2825" width="26" style="18" customWidth="1"/>
    <col min="2826" max="2826" width="9" style="18"/>
    <col min="2827" max="2827" width="9" style="18" customWidth="1"/>
    <col min="2828" max="3074" width="9" style="18"/>
    <col min="3075" max="3075" width="9.86328125" style="18" customWidth="1"/>
    <col min="3076" max="3076" width="2" style="18" customWidth="1"/>
    <col min="3077" max="3077" width="12.53125" style="18" customWidth="1"/>
    <col min="3078" max="3078" width="1.86328125" style="18" customWidth="1"/>
    <col min="3079" max="3079" width="2" style="18" customWidth="1"/>
    <col min="3080" max="3080" width="16" style="18" customWidth="1"/>
    <col min="3081" max="3081" width="26" style="18" customWidth="1"/>
    <col min="3082" max="3082" width="9" style="18"/>
    <col min="3083" max="3083" width="9" style="18" customWidth="1"/>
    <col min="3084" max="3330" width="9" style="18"/>
    <col min="3331" max="3331" width="9.86328125" style="18" customWidth="1"/>
    <col min="3332" max="3332" width="2" style="18" customWidth="1"/>
    <col min="3333" max="3333" width="12.53125" style="18" customWidth="1"/>
    <col min="3334" max="3334" width="1.86328125" style="18" customWidth="1"/>
    <col min="3335" max="3335" width="2" style="18" customWidth="1"/>
    <col min="3336" max="3336" width="16" style="18" customWidth="1"/>
    <col min="3337" max="3337" width="26" style="18" customWidth="1"/>
    <col min="3338" max="3338" width="9" style="18"/>
    <col min="3339" max="3339" width="9" style="18" customWidth="1"/>
    <col min="3340" max="3586" width="9" style="18"/>
    <col min="3587" max="3587" width="9.86328125" style="18" customWidth="1"/>
    <col min="3588" max="3588" width="2" style="18" customWidth="1"/>
    <col min="3589" max="3589" width="12.53125" style="18" customWidth="1"/>
    <col min="3590" max="3590" width="1.86328125" style="18" customWidth="1"/>
    <col min="3591" max="3591" width="2" style="18" customWidth="1"/>
    <col min="3592" max="3592" width="16" style="18" customWidth="1"/>
    <col min="3593" max="3593" width="26" style="18" customWidth="1"/>
    <col min="3594" max="3594" width="9" style="18"/>
    <col min="3595" max="3595" width="9" style="18" customWidth="1"/>
    <col min="3596" max="3842" width="9" style="18"/>
    <col min="3843" max="3843" width="9.86328125" style="18" customWidth="1"/>
    <col min="3844" max="3844" width="2" style="18" customWidth="1"/>
    <col min="3845" max="3845" width="12.53125" style="18" customWidth="1"/>
    <col min="3846" max="3846" width="1.86328125" style="18" customWidth="1"/>
    <col min="3847" max="3847" width="2" style="18" customWidth="1"/>
    <col min="3848" max="3848" width="16" style="18" customWidth="1"/>
    <col min="3849" max="3849" width="26" style="18" customWidth="1"/>
    <col min="3850" max="3850" width="9" style="18"/>
    <col min="3851" max="3851" width="9" style="18" customWidth="1"/>
    <col min="3852" max="4098" width="9" style="18"/>
    <col min="4099" max="4099" width="9.86328125" style="18" customWidth="1"/>
    <col min="4100" max="4100" width="2" style="18" customWidth="1"/>
    <col min="4101" max="4101" width="12.53125" style="18" customWidth="1"/>
    <col min="4102" max="4102" width="1.86328125" style="18" customWidth="1"/>
    <col min="4103" max="4103" width="2" style="18" customWidth="1"/>
    <col min="4104" max="4104" width="16" style="18" customWidth="1"/>
    <col min="4105" max="4105" width="26" style="18" customWidth="1"/>
    <col min="4106" max="4106" width="9" style="18"/>
    <col min="4107" max="4107" width="9" style="18" customWidth="1"/>
    <col min="4108" max="4354" width="9" style="18"/>
    <col min="4355" max="4355" width="9.86328125" style="18" customWidth="1"/>
    <col min="4356" max="4356" width="2" style="18" customWidth="1"/>
    <col min="4357" max="4357" width="12.53125" style="18" customWidth="1"/>
    <col min="4358" max="4358" width="1.86328125" style="18" customWidth="1"/>
    <col min="4359" max="4359" width="2" style="18" customWidth="1"/>
    <col min="4360" max="4360" width="16" style="18" customWidth="1"/>
    <col min="4361" max="4361" width="26" style="18" customWidth="1"/>
    <col min="4362" max="4362" width="9" style="18"/>
    <col min="4363" max="4363" width="9" style="18" customWidth="1"/>
    <col min="4364" max="4610" width="9" style="18"/>
    <col min="4611" max="4611" width="9.86328125" style="18" customWidth="1"/>
    <col min="4612" max="4612" width="2" style="18" customWidth="1"/>
    <col min="4613" max="4613" width="12.53125" style="18" customWidth="1"/>
    <col min="4614" max="4614" width="1.86328125" style="18" customWidth="1"/>
    <col min="4615" max="4615" width="2" style="18" customWidth="1"/>
    <col min="4616" max="4616" width="16" style="18" customWidth="1"/>
    <col min="4617" max="4617" width="26" style="18" customWidth="1"/>
    <col min="4618" max="4618" width="9" style="18"/>
    <col min="4619" max="4619" width="9" style="18" customWidth="1"/>
    <col min="4620" max="4866" width="9" style="18"/>
    <col min="4867" max="4867" width="9.86328125" style="18" customWidth="1"/>
    <col min="4868" max="4868" width="2" style="18" customWidth="1"/>
    <col min="4869" max="4869" width="12.53125" style="18" customWidth="1"/>
    <col min="4870" max="4870" width="1.86328125" style="18" customWidth="1"/>
    <col min="4871" max="4871" width="2" style="18" customWidth="1"/>
    <col min="4872" max="4872" width="16" style="18" customWidth="1"/>
    <col min="4873" max="4873" width="26" style="18" customWidth="1"/>
    <col min="4874" max="4874" width="9" style="18"/>
    <col min="4875" max="4875" width="9" style="18" customWidth="1"/>
    <col min="4876" max="5122" width="9" style="18"/>
    <col min="5123" max="5123" width="9.86328125" style="18" customWidth="1"/>
    <col min="5124" max="5124" width="2" style="18" customWidth="1"/>
    <col min="5125" max="5125" width="12.53125" style="18" customWidth="1"/>
    <col min="5126" max="5126" width="1.86328125" style="18" customWidth="1"/>
    <col min="5127" max="5127" width="2" style="18" customWidth="1"/>
    <col min="5128" max="5128" width="16" style="18" customWidth="1"/>
    <col min="5129" max="5129" width="26" style="18" customWidth="1"/>
    <col min="5130" max="5130" width="9" style="18"/>
    <col min="5131" max="5131" width="9" style="18" customWidth="1"/>
    <col min="5132" max="5378" width="9" style="18"/>
    <col min="5379" max="5379" width="9.86328125" style="18" customWidth="1"/>
    <col min="5380" max="5380" width="2" style="18" customWidth="1"/>
    <col min="5381" max="5381" width="12.53125" style="18" customWidth="1"/>
    <col min="5382" max="5382" width="1.86328125" style="18" customWidth="1"/>
    <col min="5383" max="5383" width="2" style="18" customWidth="1"/>
    <col min="5384" max="5384" width="16" style="18" customWidth="1"/>
    <col min="5385" max="5385" width="26" style="18" customWidth="1"/>
    <col min="5386" max="5386" width="9" style="18"/>
    <col min="5387" max="5387" width="9" style="18" customWidth="1"/>
    <col min="5388" max="5634" width="9" style="18"/>
    <col min="5635" max="5635" width="9.86328125" style="18" customWidth="1"/>
    <col min="5636" max="5636" width="2" style="18" customWidth="1"/>
    <col min="5637" max="5637" width="12.53125" style="18" customWidth="1"/>
    <col min="5638" max="5638" width="1.86328125" style="18" customWidth="1"/>
    <col min="5639" max="5639" width="2" style="18" customWidth="1"/>
    <col min="5640" max="5640" width="16" style="18" customWidth="1"/>
    <col min="5641" max="5641" width="26" style="18" customWidth="1"/>
    <col min="5642" max="5642" width="9" style="18"/>
    <col min="5643" max="5643" width="9" style="18" customWidth="1"/>
    <col min="5644" max="5890" width="9" style="18"/>
    <col min="5891" max="5891" width="9.86328125" style="18" customWidth="1"/>
    <col min="5892" max="5892" width="2" style="18" customWidth="1"/>
    <col min="5893" max="5893" width="12.53125" style="18" customWidth="1"/>
    <col min="5894" max="5894" width="1.86328125" style="18" customWidth="1"/>
    <col min="5895" max="5895" width="2" style="18" customWidth="1"/>
    <col min="5896" max="5896" width="16" style="18" customWidth="1"/>
    <col min="5897" max="5897" width="26" style="18" customWidth="1"/>
    <col min="5898" max="5898" width="9" style="18"/>
    <col min="5899" max="5899" width="9" style="18" customWidth="1"/>
    <col min="5900" max="6146" width="9" style="18"/>
    <col min="6147" max="6147" width="9.86328125" style="18" customWidth="1"/>
    <col min="6148" max="6148" width="2" style="18" customWidth="1"/>
    <col min="6149" max="6149" width="12.53125" style="18" customWidth="1"/>
    <col min="6150" max="6150" width="1.86328125" style="18" customWidth="1"/>
    <col min="6151" max="6151" width="2" style="18" customWidth="1"/>
    <col min="6152" max="6152" width="16" style="18" customWidth="1"/>
    <col min="6153" max="6153" width="26" style="18" customWidth="1"/>
    <col min="6154" max="6154" width="9" style="18"/>
    <col min="6155" max="6155" width="9" style="18" customWidth="1"/>
    <col min="6156" max="6402" width="9" style="18"/>
    <col min="6403" max="6403" width="9.86328125" style="18" customWidth="1"/>
    <col min="6404" max="6404" width="2" style="18" customWidth="1"/>
    <col min="6405" max="6405" width="12.53125" style="18" customWidth="1"/>
    <col min="6406" max="6406" width="1.86328125" style="18" customWidth="1"/>
    <col min="6407" max="6407" width="2" style="18" customWidth="1"/>
    <col min="6408" max="6408" width="16" style="18" customWidth="1"/>
    <col min="6409" max="6409" width="26" style="18" customWidth="1"/>
    <col min="6410" max="6410" width="9" style="18"/>
    <col min="6411" max="6411" width="9" style="18" customWidth="1"/>
    <col min="6412" max="6658" width="9" style="18"/>
    <col min="6659" max="6659" width="9.86328125" style="18" customWidth="1"/>
    <col min="6660" max="6660" width="2" style="18" customWidth="1"/>
    <col min="6661" max="6661" width="12.53125" style="18" customWidth="1"/>
    <col min="6662" max="6662" width="1.86328125" style="18" customWidth="1"/>
    <col min="6663" max="6663" width="2" style="18" customWidth="1"/>
    <col min="6664" max="6664" width="16" style="18" customWidth="1"/>
    <col min="6665" max="6665" width="26" style="18" customWidth="1"/>
    <col min="6666" max="6666" width="9" style="18"/>
    <col min="6667" max="6667" width="9" style="18" customWidth="1"/>
    <col min="6668" max="6914" width="9" style="18"/>
    <col min="6915" max="6915" width="9.86328125" style="18" customWidth="1"/>
    <col min="6916" max="6916" width="2" style="18" customWidth="1"/>
    <col min="6917" max="6917" width="12.53125" style="18" customWidth="1"/>
    <col min="6918" max="6918" width="1.86328125" style="18" customWidth="1"/>
    <col min="6919" max="6919" width="2" style="18" customWidth="1"/>
    <col min="6920" max="6920" width="16" style="18" customWidth="1"/>
    <col min="6921" max="6921" width="26" style="18" customWidth="1"/>
    <col min="6922" max="6922" width="9" style="18"/>
    <col min="6923" max="6923" width="9" style="18" customWidth="1"/>
    <col min="6924" max="7170" width="9" style="18"/>
    <col min="7171" max="7171" width="9.86328125" style="18" customWidth="1"/>
    <col min="7172" max="7172" width="2" style="18" customWidth="1"/>
    <col min="7173" max="7173" width="12.53125" style="18" customWidth="1"/>
    <col min="7174" max="7174" width="1.86328125" style="18" customWidth="1"/>
    <col min="7175" max="7175" width="2" style="18" customWidth="1"/>
    <col min="7176" max="7176" width="16" style="18" customWidth="1"/>
    <col min="7177" max="7177" width="26" style="18" customWidth="1"/>
    <col min="7178" max="7178" width="9" style="18"/>
    <col min="7179" max="7179" width="9" style="18" customWidth="1"/>
    <col min="7180" max="7426" width="9" style="18"/>
    <col min="7427" max="7427" width="9.86328125" style="18" customWidth="1"/>
    <col min="7428" max="7428" width="2" style="18" customWidth="1"/>
    <col min="7429" max="7429" width="12.53125" style="18" customWidth="1"/>
    <col min="7430" max="7430" width="1.86328125" style="18" customWidth="1"/>
    <col min="7431" max="7431" width="2" style="18" customWidth="1"/>
    <col min="7432" max="7432" width="16" style="18" customWidth="1"/>
    <col min="7433" max="7433" width="26" style="18" customWidth="1"/>
    <col min="7434" max="7434" width="9" style="18"/>
    <col min="7435" max="7435" width="9" style="18" customWidth="1"/>
    <col min="7436" max="7682" width="9" style="18"/>
    <col min="7683" max="7683" width="9.86328125" style="18" customWidth="1"/>
    <col min="7684" max="7684" width="2" style="18" customWidth="1"/>
    <col min="7685" max="7685" width="12.53125" style="18" customWidth="1"/>
    <col min="7686" max="7686" width="1.86328125" style="18" customWidth="1"/>
    <col min="7687" max="7687" width="2" style="18" customWidth="1"/>
    <col min="7688" max="7688" width="16" style="18" customWidth="1"/>
    <col min="7689" max="7689" width="26" style="18" customWidth="1"/>
    <col min="7690" max="7690" width="9" style="18"/>
    <col min="7691" max="7691" width="9" style="18" customWidth="1"/>
    <col min="7692" max="7938" width="9" style="18"/>
    <col min="7939" max="7939" width="9.86328125" style="18" customWidth="1"/>
    <col min="7940" max="7940" width="2" style="18" customWidth="1"/>
    <col min="7941" max="7941" width="12.53125" style="18" customWidth="1"/>
    <col min="7942" max="7942" width="1.86328125" style="18" customWidth="1"/>
    <col min="7943" max="7943" width="2" style="18" customWidth="1"/>
    <col min="7944" max="7944" width="16" style="18" customWidth="1"/>
    <col min="7945" max="7945" width="26" style="18" customWidth="1"/>
    <col min="7946" max="7946" width="9" style="18"/>
    <col min="7947" max="7947" width="9" style="18" customWidth="1"/>
    <col min="7948" max="8194" width="9" style="18"/>
    <col min="8195" max="8195" width="9.86328125" style="18" customWidth="1"/>
    <col min="8196" max="8196" width="2" style="18" customWidth="1"/>
    <col min="8197" max="8197" width="12.53125" style="18" customWidth="1"/>
    <col min="8198" max="8198" width="1.86328125" style="18" customWidth="1"/>
    <col min="8199" max="8199" width="2" style="18" customWidth="1"/>
    <col min="8200" max="8200" width="16" style="18" customWidth="1"/>
    <col min="8201" max="8201" width="26" style="18" customWidth="1"/>
    <col min="8202" max="8202" width="9" style="18"/>
    <col min="8203" max="8203" width="9" style="18" customWidth="1"/>
    <col min="8204" max="8450" width="9" style="18"/>
    <col min="8451" max="8451" width="9.86328125" style="18" customWidth="1"/>
    <col min="8452" max="8452" width="2" style="18" customWidth="1"/>
    <col min="8453" max="8453" width="12.53125" style="18" customWidth="1"/>
    <col min="8454" max="8454" width="1.86328125" style="18" customWidth="1"/>
    <col min="8455" max="8455" width="2" style="18" customWidth="1"/>
    <col min="8456" max="8456" width="16" style="18" customWidth="1"/>
    <col min="8457" max="8457" width="26" style="18" customWidth="1"/>
    <col min="8458" max="8458" width="9" style="18"/>
    <col min="8459" max="8459" width="9" style="18" customWidth="1"/>
    <col min="8460" max="8706" width="9" style="18"/>
    <col min="8707" max="8707" width="9.86328125" style="18" customWidth="1"/>
    <col min="8708" max="8708" width="2" style="18" customWidth="1"/>
    <col min="8709" max="8709" width="12.53125" style="18" customWidth="1"/>
    <col min="8710" max="8710" width="1.86328125" style="18" customWidth="1"/>
    <col min="8711" max="8711" width="2" style="18" customWidth="1"/>
    <col min="8712" max="8712" width="16" style="18" customWidth="1"/>
    <col min="8713" max="8713" width="26" style="18" customWidth="1"/>
    <col min="8714" max="8714" width="9" style="18"/>
    <col min="8715" max="8715" width="9" style="18" customWidth="1"/>
    <col min="8716" max="8962" width="9" style="18"/>
    <col min="8963" max="8963" width="9.86328125" style="18" customWidth="1"/>
    <col min="8964" max="8964" width="2" style="18" customWidth="1"/>
    <col min="8965" max="8965" width="12.53125" style="18" customWidth="1"/>
    <col min="8966" max="8966" width="1.86328125" style="18" customWidth="1"/>
    <col min="8967" max="8967" width="2" style="18" customWidth="1"/>
    <col min="8968" max="8968" width="16" style="18" customWidth="1"/>
    <col min="8969" max="8969" width="26" style="18" customWidth="1"/>
    <col min="8970" max="8970" width="9" style="18"/>
    <col min="8971" max="8971" width="9" style="18" customWidth="1"/>
    <col min="8972" max="9218" width="9" style="18"/>
    <col min="9219" max="9219" width="9.86328125" style="18" customWidth="1"/>
    <col min="9220" max="9220" width="2" style="18" customWidth="1"/>
    <col min="9221" max="9221" width="12.53125" style="18" customWidth="1"/>
    <col min="9222" max="9222" width="1.86328125" style="18" customWidth="1"/>
    <col min="9223" max="9223" width="2" style="18" customWidth="1"/>
    <col min="9224" max="9224" width="16" style="18" customWidth="1"/>
    <col min="9225" max="9225" width="26" style="18" customWidth="1"/>
    <col min="9226" max="9226" width="9" style="18"/>
    <col min="9227" max="9227" width="9" style="18" customWidth="1"/>
    <col min="9228" max="9474" width="9" style="18"/>
    <col min="9475" max="9475" width="9.86328125" style="18" customWidth="1"/>
    <col min="9476" max="9476" width="2" style="18" customWidth="1"/>
    <col min="9477" max="9477" width="12.53125" style="18" customWidth="1"/>
    <col min="9478" max="9478" width="1.86328125" style="18" customWidth="1"/>
    <col min="9479" max="9479" width="2" style="18" customWidth="1"/>
    <col min="9480" max="9480" width="16" style="18" customWidth="1"/>
    <col min="9481" max="9481" width="26" style="18" customWidth="1"/>
    <col min="9482" max="9482" width="9" style="18"/>
    <col min="9483" max="9483" width="9" style="18" customWidth="1"/>
    <col min="9484" max="9730" width="9" style="18"/>
    <col min="9731" max="9731" width="9.86328125" style="18" customWidth="1"/>
    <col min="9732" max="9732" width="2" style="18" customWidth="1"/>
    <col min="9733" max="9733" width="12.53125" style="18" customWidth="1"/>
    <col min="9734" max="9734" width="1.86328125" style="18" customWidth="1"/>
    <col min="9735" max="9735" width="2" style="18" customWidth="1"/>
    <col min="9736" max="9736" width="16" style="18" customWidth="1"/>
    <col min="9737" max="9737" width="26" style="18" customWidth="1"/>
    <col min="9738" max="9738" width="9" style="18"/>
    <col min="9739" max="9739" width="9" style="18" customWidth="1"/>
    <col min="9740" max="9986" width="9" style="18"/>
    <col min="9987" max="9987" width="9.86328125" style="18" customWidth="1"/>
    <col min="9988" max="9988" width="2" style="18" customWidth="1"/>
    <col min="9989" max="9989" width="12.53125" style="18" customWidth="1"/>
    <col min="9990" max="9990" width="1.86328125" style="18" customWidth="1"/>
    <col min="9991" max="9991" width="2" style="18" customWidth="1"/>
    <col min="9992" max="9992" width="16" style="18" customWidth="1"/>
    <col min="9993" max="9993" width="26" style="18" customWidth="1"/>
    <col min="9994" max="9994" width="9" style="18"/>
    <col min="9995" max="9995" width="9" style="18" customWidth="1"/>
    <col min="9996" max="10242" width="9" style="18"/>
    <col min="10243" max="10243" width="9.86328125" style="18" customWidth="1"/>
    <col min="10244" max="10244" width="2" style="18" customWidth="1"/>
    <col min="10245" max="10245" width="12.53125" style="18" customWidth="1"/>
    <col min="10246" max="10246" width="1.86328125" style="18" customWidth="1"/>
    <col min="10247" max="10247" width="2" style="18" customWidth="1"/>
    <col min="10248" max="10248" width="16" style="18" customWidth="1"/>
    <col min="10249" max="10249" width="26" style="18" customWidth="1"/>
    <col min="10250" max="10250" width="9" style="18"/>
    <col min="10251" max="10251" width="9" style="18" customWidth="1"/>
    <col min="10252" max="10498" width="9" style="18"/>
    <col min="10499" max="10499" width="9.86328125" style="18" customWidth="1"/>
    <col min="10500" max="10500" width="2" style="18" customWidth="1"/>
    <col min="10501" max="10501" width="12.53125" style="18" customWidth="1"/>
    <col min="10502" max="10502" width="1.86328125" style="18" customWidth="1"/>
    <col min="10503" max="10503" width="2" style="18" customWidth="1"/>
    <col min="10504" max="10504" width="16" style="18" customWidth="1"/>
    <col min="10505" max="10505" width="26" style="18" customWidth="1"/>
    <col min="10506" max="10506" width="9" style="18"/>
    <col min="10507" max="10507" width="9" style="18" customWidth="1"/>
    <col min="10508" max="10754" width="9" style="18"/>
    <col min="10755" max="10755" width="9.86328125" style="18" customWidth="1"/>
    <col min="10756" max="10756" width="2" style="18" customWidth="1"/>
    <col min="10757" max="10757" width="12.53125" style="18" customWidth="1"/>
    <col min="10758" max="10758" width="1.86328125" style="18" customWidth="1"/>
    <col min="10759" max="10759" width="2" style="18" customWidth="1"/>
    <col min="10760" max="10760" width="16" style="18" customWidth="1"/>
    <col min="10761" max="10761" width="26" style="18" customWidth="1"/>
    <col min="10762" max="10762" width="9" style="18"/>
    <col min="10763" max="10763" width="9" style="18" customWidth="1"/>
    <col min="10764" max="11010" width="9" style="18"/>
    <col min="11011" max="11011" width="9.86328125" style="18" customWidth="1"/>
    <col min="11012" max="11012" width="2" style="18" customWidth="1"/>
    <col min="11013" max="11013" width="12.53125" style="18" customWidth="1"/>
    <col min="11014" max="11014" width="1.86328125" style="18" customWidth="1"/>
    <col min="11015" max="11015" width="2" style="18" customWidth="1"/>
    <col min="11016" max="11016" width="16" style="18" customWidth="1"/>
    <col min="11017" max="11017" width="26" style="18" customWidth="1"/>
    <col min="11018" max="11018" width="9" style="18"/>
    <col min="11019" max="11019" width="9" style="18" customWidth="1"/>
    <col min="11020" max="11266" width="9" style="18"/>
    <col min="11267" max="11267" width="9.86328125" style="18" customWidth="1"/>
    <col min="11268" max="11268" width="2" style="18" customWidth="1"/>
    <col min="11269" max="11269" width="12.53125" style="18" customWidth="1"/>
    <col min="11270" max="11270" width="1.86328125" style="18" customWidth="1"/>
    <col min="11271" max="11271" width="2" style="18" customWidth="1"/>
    <col min="11272" max="11272" width="16" style="18" customWidth="1"/>
    <col min="11273" max="11273" width="26" style="18" customWidth="1"/>
    <col min="11274" max="11274" width="9" style="18"/>
    <col min="11275" max="11275" width="9" style="18" customWidth="1"/>
    <col min="11276" max="11522" width="9" style="18"/>
    <col min="11523" max="11523" width="9.86328125" style="18" customWidth="1"/>
    <col min="11524" max="11524" width="2" style="18" customWidth="1"/>
    <col min="11525" max="11525" width="12.53125" style="18" customWidth="1"/>
    <col min="11526" max="11526" width="1.86328125" style="18" customWidth="1"/>
    <col min="11527" max="11527" width="2" style="18" customWidth="1"/>
    <col min="11528" max="11528" width="16" style="18" customWidth="1"/>
    <col min="11529" max="11529" width="26" style="18" customWidth="1"/>
    <col min="11530" max="11530" width="9" style="18"/>
    <col min="11531" max="11531" width="9" style="18" customWidth="1"/>
    <col min="11532" max="11778" width="9" style="18"/>
    <col min="11779" max="11779" width="9.86328125" style="18" customWidth="1"/>
    <col min="11780" max="11780" width="2" style="18" customWidth="1"/>
    <col min="11781" max="11781" width="12.53125" style="18" customWidth="1"/>
    <col min="11782" max="11782" width="1.86328125" style="18" customWidth="1"/>
    <col min="11783" max="11783" width="2" style="18" customWidth="1"/>
    <col min="11784" max="11784" width="16" style="18" customWidth="1"/>
    <col min="11785" max="11785" width="26" style="18" customWidth="1"/>
    <col min="11786" max="11786" width="9" style="18"/>
    <col min="11787" max="11787" width="9" style="18" customWidth="1"/>
    <col min="11788" max="12034" width="9" style="18"/>
    <col min="12035" max="12035" width="9.86328125" style="18" customWidth="1"/>
    <col min="12036" max="12036" width="2" style="18" customWidth="1"/>
    <col min="12037" max="12037" width="12.53125" style="18" customWidth="1"/>
    <col min="12038" max="12038" width="1.86328125" style="18" customWidth="1"/>
    <col min="12039" max="12039" width="2" style="18" customWidth="1"/>
    <col min="12040" max="12040" width="16" style="18" customWidth="1"/>
    <col min="12041" max="12041" width="26" style="18" customWidth="1"/>
    <col min="12042" max="12042" width="9" style="18"/>
    <col min="12043" max="12043" width="9" style="18" customWidth="1"/>
    <col min="12044" max="12290" width="9" style="18"/>
    <col min="12291" max="12291" width="9.86328125" style="18" customWidth="1"/>
    <col min="12292" max="12292" width="2" style="18" customWidth="1"/>
    <col min="12293" max="12293" width="12.53125" style="18" customWidth="1"/>
    <col min="12294" max="12294" width="1.86328125" style="18" customWidth="1"/>
    <col min="12295" max="12295" width="2" style="18" customWidth="1"/>
    <col min="12296" max="12296" width="16" style="18" customWidth="1"/>
    <col min="12297" max="12297" width="26" style="18" customWidth="1"/>
    <col min="12298" max="12298" width="9" style="18"/>
    <col min="12299" max="12299" width="9" style="18" customWidth="1"/>
    <col min="12300" max="12546" width="9" style="18"/>
    <col min="12547" max="12547" width="9.86328125" style="18" customWidth="1"/>
    <col min="12548" max="12548" width="2" style="18" customWidth="1"/>
    <col min="12549" max="12549" width="12.53125" style="18" customWidth="1"/>
    <col min="12550" max="12550" width="1.86328125" style="18" customWidth="1"/>
    <col min="12551" max="12551" width="2" style="18" customWidth="1"/>
    <col min="12552" max="12552" width="16" style="18" customWidth="1"/>
    <col min="12553" max="12553" width="26" style="18" customWidth="1"/>
    <col min="12554" max="12554" width="9" style="18"/>
    <col min="12555" max="12555" width="9" style="18" customWidth="1"/>
    <col min="12556" max="12802" width="9" style="18"/>
    <col min="12803" max="12803" width="9.86328125" style="18" customWidth="1"/>
    <col min="12804" max="12804" width="2" style="18" customWidth="1"/>
    <col min="12805" max="12805" width="12.53125" style="18" customWidth="1"/>
    <col min="12806" max="12806" width="1.86328125" style="18" customWidth="1"/>
    <col min="12807" max="12807" width="2" style="18" customWidth="1"/>
    <col min="12808" max="12808" width="16" style="18" customWidth="1"/>
    <col min="12809" max="12809" width="26" style="18" customWidth="1"/>
    <col min="12810" max="12810" width="9" style="18"/>
    <col min="12811" max="12811" width="9" style="18" customWidth="1"/>
    <col min="12812" max="13058" width="9" style="18"/>
    <col min="13059" max="13059" width="9.86328125" style="18" customWidth="1"/>
    <col min="13060" max="13060" width="2" style="18" customWidth="1"/>
    <col min="13061" max="13061" width="12.53125" style="18" customWidth="1"/>
    <col min="13062" max="13062" width="1.86328125" style="18" customWidth="1"/>
    <col min="13063" max="13063" width="2" style="18" customWidth="1"/>
    <col min="13064" max="13064" width="16" style="18" customWidth="1"/>
    <col min="13065" max="13065" width="26" style="18" customWidth="1"/>
    <col min="13066" max="13066" width="9" style="18"/>
    <col min="13067" max="13067" width="9" style="18" customWidth="1"/>
    <col min="13068" max="13314" width="9" style="18"/>
    <col min="13315" max="13315" width="9.86328125" style="18" customWidth="1"/>
    <col min="13316" max="13316" width="2" style="18" customWidth="1"/>
    <col min="13317" max="13317" width="12.53125" style="18" customWidth="1"/>
    <col min="13318" max="13318" width="1.86328125" style="18" customWidth="1"/>
    <col min="13319" max="13319" width="2" style="18" customWidth="1"/>
    <col min="13320" max="13320" width="16" style="18" customWidth="1"/>
    <col min="13321" max="13321" width="26" style="18" customWidth="1"/>
    <col min="13322" max="13322" width="9" style="18"/>
    <col min="13323" max="13323" width="9" style="18" customWidth="1"/>
    <col min="13324" max="13570" width="9" style="18"/>
    <col min="13571" max="13571" width="9.86328125" style="18" customWidth="1"/>
    <col min="13572" max="13572" width="2" style="18" customWidth="1"/>
    <col min="13573" max="13573" width="12.53125" style="18" customWidth="1"/>
    <col min="13574" max="13574" width="1.86328125" style="18" customWidth="1"/>
    <col min="13575" max="13575" width="2" style="18" customWidth="1"/>
    <col min="13576" max="13576" width="16" style="18" customWidth="1"/>
    <col min="13577" max="13577" width="26" style="18" customWidth="1"/>
    <col min="13578" max="13578" width="9" style="18"/>
    <col min="13579" max="13579" width="9" style="18" customWidth="1"/>
    <col min="13580" max="13826" width="9" style="18"/>
    <col min="13827" max="13827" width="9.86328125" style="18" customWidth="1"/>
    <col min="13828" max="13828" width="2" style="18" customWidth="1"/>
    <col min="13829" max="13829" width="12.53125" style="18" customWidth="1"/>
    <col min="13830" max="13830" width="1.86328125" style="18" customWidth="1"/>
    <col min="13831" max="13831" width="2" style="18" customWidth="1"/>
    <col min="13832" max="13832" width="16" style="18" customWidth="1"/>
    <col min="13833" max="13833" width="26" style="18" customWidth="1"/>
    <col min="13834" max="13834" width="9" style="18"/>
    <col min="13835" max="13835" width="9" style="18" customWidth="1"/>
    <col min="13836" max="14082" width="9" style="18"/>
    <col min="14083" max="14083" width="9.86328125" style="18" customWidth="1"/>
    <col min="14084" max="14084" width="2" style="18" customWidth="1"/>
    <col min="14085" max="14085" width="12.53125" style="18" customWidth="1"/>
    <col min="14086" max="14086" width="1.86328125" style="18" customWidth="1"/>
    <col min="14087" max="14087" width="2" style="18" customWidth="1"/>
    <col min="14088" max="14088" width="16" style="18" customWidth="1"/>
    <col min="14089" max="14089" width="26" style="18" customWidth="1"/>
    <col min="14090" max="14090" width="9" style="18"/>
    <col min="14091" max="14091" width="9" style="18" customWidth="1"/>
    <col min="14092" max="14338" width="9" style="18"/>
    <col min="14339" max="14339" width="9.86328125" style="18" customWidth="1"/>
    <col min="14340" max="14340" width="2" style="18" customWidth="1"/>
    <col min="14341" max="14341" width="12.53125" style="18" customWidth="1"/>
    <col min="14342" max="14342" width="1.86328125" style="18" customWidth="1"/>
    <col min="14343" max="14343" width="2" style="18" customWidth="1"/>
    <col min="14344" max="14344" width="16" style="18" customWidth="1"/>
    <col min="14345" max="14345" width="26" style="18" customWidth="1"/>
    <col min="14346" max="14346" width="9" style="18"/>
    <col min="14347" max="14347" width="9" style="18" customWidth="1"/>
    <col min="14348" max="14594" width="9" style="18"/>
    <col min="14595" max="14595" width="9.86328125" style="18" customWidth="1"/>
    <col min="14596" max="14596" width="2" style="18" customWidth="1"/>
    <col min="14597" max="14597" width="12.53125" style="18" customWidth="1"/>
    <col min="14598" max="14598" width="1.86328125" style="18" customWidth="1"/>
    <col min="14599" max="14599" width="2" style="18" customWidth="1"/>
    <col min="14600" max="14600" width="16" style="18" customWidth="1"/>
    <col min="14601" max="14601" width="26" style="18" customWidth="1"/>
    <col min="14602" max="14602" width="9" style="18"/>
    <col min="14603" max="14603" width="9" style="18" customWidth="1"/>
    <col min="14604" max="14850" width="9" style="18"/>
    <col min="14851" max="14851" width="9.86328125" style="18" customWidth="1"/>
    <col min="14852" max="14852" width="2" style="18" customWidth="1"/>
    <col min="14853" max="14853" width="12.53125" style="18" customWidth="1"/>
    <col min="14854" max="14854" width="1.86328125" style="18" customWidth="1"/>
    <col min="14855" max="14855" width="2" style="18" customWidth="1"/>
    <col min="14856" max="14856" width="16" style="18" customWidth="1"/>
    <col min="14857" max="14857" width="26" style="18" customWidth="1"/>
    <col min="14858" max="14858" width="9" style="18"/>
    <col min="14859" max="14859" width="9" style="18" customWidth="1"/>
    <col min="14860" max="15106" width="9" style="18"/>
    <col min="15107" max="15107" width="9.86328125" style="18" customWidth="1"/>
    <col min="15108" max="15108" width="2" style="18" customWidth="1"/>
    <col min="15109" max="15109" width="12.53125" style="18" customWidth="1"/>
    <col min="15110" max="15110" width="1.86328125" style="18" customWidth="1"/>
    <col min="15111" max="15111" width="2" style="18" customWidth="1"/>
    <col min="15112" max="15112" width="16" style="18" customWidth="1"/>
    <col min="15113" max="15113" width="26" style="18" customWidth="1"/>
    <col min="15114" max="15114" width="9" style="18"/>
    <col min="15115" max="15115" width="9" style="18" customWidth="1"/>
    <col min="15116" max="15362" width="9" style="18"/>
    <col min="15363" max="15363" width="9.86328125" style="18" customWidth="1"/>
    <col min="15364" max="15364" width="2" style="18" customWidth="1"/>
    <col min="15365" max="15365" width="12.53125" style="18" customWidth="1"/>
    <col min="15366" max="15366" width="1.86328125" style="18" customWidth="1"/>
    <col min="15367" max="15367" width="2" style="18" customWidth="1"/>
    <col min="15368" max="15368" width="16" style="18" customWidth="1"/>
    <col min="15369" max="15369" width="26" style="18" customWidth="1"/>
    <col min="15370" max="15370" width="9" style="18"/>
    <col min="15371" max="15371" width="9" style="18" customWidth="1"/>
    <col min="15372" max="15618" width="9" style="18"/>
    <col min="15619" max="15619" width="9.86328125" style="18" customWidth="1"/>
    <col min="15620" max="15620" width="2" style="18" customWidth="1"/>
    <col min="15621" max="15621" width="12.53125" style="18" customWidth="1"/>
    <col min="15622" max="15622" width="1.86328125" style="18" customWidth="1"/>
    <col min="15623" max="15623" width="2" style="18" customWidth="1"/>
    <col min="15624" max="15624" width="16" style="18" customWidth="1"/>
    <col min="15625" max="15625" width="26" style="18" customWidth="1"/>
    <col min="15626" max="15626" width="9" style="18"/>
    <col min="15627" max="15627" width="9" style="18" customWidth="1"/>
    <col min="15628" max="15874" width="9" style="18"/>
    <col min="15875" max="15875" width="9.86328125" style="18" customWidth="1"/>
    <col min="15876" max="15876" width="2" style="18" customWidth="1"/>
    <col min="15877" max="15877" width="12.53125" style="18" customWidth="1"/>
    <col min="15878" max="15878" width="1.86328125" style="18" customWidth="1"/>
    <col min="15879" max="15879" width="2" style="18" customWidth="1"/>
    <col min="15880" max="15880" width="16" style="18" customWidth="1"/>
    <col min="15881" max="15881" width="26" style="18" customWidth="1"/>
    <col min="15882" max="15882" width="9" style="18"/>
    <col min="15883" max="15883" width="9" style="18" customWidth="1"/>
    <col min="15884" max="16130" width="9" style="18"/>
    <col min="16131" max="16131" width="9.86328125" style="18" customWidth="1"/>
    <col min="16132" max="16132" width="2" style="18" customWidth="1"/>
    <col min="16133" max="16133" width="12.53125" style="18" customWidth="1"/>
    <col min="16134" max="16134" width="1.86328125" style="18" customWidth="1"/>
    <col min="16135" max="16135" width="2" style="18" customWidth="1"/>
    <col min="16136" max="16136" width="16" style="18" customWidth="1"/>
    <col min="16137" max="16137" width="26" style="18" customWidth="1"/>
    <col min="16138" max="16138" width="9" style="18"/>
    <col min="16139" max="16139" width="9" style="18" customWidth="1"/>
    <col min="16140" max="16384" width="9" style="18"/>
  </cols>
  <sheetData>
    <row r="1" spans="1:14" ht="17.25">
      <c r="D1" s="866" t="str">
        <f>opd_lok</f>
        <v>Provinsi Nusa Tenggara Barat</v>
      </c>
      <c r="E1" s="866"/>
      <c r="F1" s="866"/>
      <c r="G1" s="866"/>
      <c r="H1" s="866"/>
      <c r="I1" s="866"/>
      <c r="J1" s="866"/>
      <c r="K1" s="866"/>
      <c r="L1" s="866"/>
    </row>
    <row r="2" spans="1:14" ht="47.1" customHeight="1">
      <c r="D2" s="867" t="str">
        <f>opd_nama</f>
        <v>Badan Pengelolaan Keuangan dan Aset Daerah</v>
      </c>
      <c r="E2" s="867"/>
      <c r="F2" s="867"/>
      <c r="G2" s="867"/>
      <c r="H2" s="867"/>
      <c r="I2" s="867"/>
      <c r="J2" s="867"/>
      <c r="K2" s="867"/>
      <c r="L2" s="867"/>
    </row>
    <row r="3" spans="1:14" ht="17.850000000000001" customHeight="1">
      <c r="A3" s="24"/>
      <c r="B3" s="24"/>
      <c r="C3" s="24"/>
      <c r="D3" s="868" t="str">
        <f>opd_almt</f>
        <v>Jalan Pejanggik Nomor 14 Telp.( 0370 ) 627689, 625345 Fax: 627677</v>
      </c>
      <c r="E3" s="868"/>
      <c r="F3" s="868"/>
      <c r="G3" s="868"/>
      <c r="H3" s="868"/>
      <c r="I3" s="868"/>
      <c r="J3" s="868"/>
      <c r="K3" s="868"/>
      <c r="L3" s="868"/>
    </row>
    <row r="4" spans="1:14" ht="5.25" customHeight="1"/>
    <row r="5" spans="1:14" ht="17.850000000000001" customHeight="1">
      <c r="A5" s="869" t="s">
        <v>252</v>
      </c>
      <c r="B5" s="869"/>
      <c r="C5" s="869"/>
      <c r="D5" s="869"/>
      <c r="E5" s="869"/>
      <c r="F5" s="869"/>
      <c r="G5" s="869"/>
      <c r="H5" s="869"/>
      <c r="I5" s="869"/>
      <c r="J5" s="869"/>
      <c r="K5" s="869"/>
      <c r="L5" s="869"/>
      <c r="M5" s="70"/>
      <c r="N5" s="70"/>
    </row>
    <row r="6" spans="1:14" ht="15" customHeight="1">
      <c r="A6" s="870" t="str">
        <f>"Nomor: "&amp;Input!D74</f>
        <v>Nomor: 900/           /BPKAD/2024</v>
      </c>
      <c r="B6" s="870"/>
      <c r="C6" s="870"/>
      <c r="D6" s="870"/>
      <c r="E6" s="870"/>
      <c r="F6" s="870"/>
      <c r="G6" s="870"/>
      <c r="H6" s="870"/>
      <c r="I6" s="870"/>
      <c r="J6" s="870"/>
      <c r="K6" s="870"/>
      <c r="L6" s="870"/>
      <c r="M6" s="58"/>
      <c r="N6" s="696" t="s">
        <v>253</v>
      </c>
    </row>
    <row r="7" spans="1:14" customFormat="1" ht="5.25" customHeight="1">
      <c r="A7" s="59"/>
      <c r="B7" s="59"/>
      <c r="C7" s="59"/>
      <c r="D7" s="59"/>
      <c r="E7" s="59"/>
      <c r="F7" s="59"/>
      <c r="G7" s="59"/>
      <c r="H7" s="59"/>
      <c r="I7" s="59"/>
      <c r="J7" s="59"/>
      <c r="K7" s="59"/>
      <c r="L7" s="59"/>
      <c r="M7" s="59"/>
      <c r="N7" s="59"/>
    </row>
    <row r="8" spans="1:14" ht="15" customHeight="1">
      <c r="A8" s="60" t="s">
        <v>37</v>
      </c>
      <c r="B8" s="60"/>
      <c r="C8" s="60"/>
      <c r="D8" s="60"/>
      <c r="E8" s="61" t="s">
        <v>2</v>
      </c>
      <c r="F8" s="60" t="str">
        <f>pa_nam</f>
        <v>Dr. H. Nursalim., S.Sos., M.M</v>
      </c>
      <c r="G8" s="60"/>
      <c r="H8" s="60"/>
      <c r="I8" s="60"/>
      <c r="J8" s="60"/>
      <c r="K8" s="60"/>
      <c r="L8" s="60"/>
      <c r="M8" s="72"/>
    </row>
    <row r="9" spans="1:14" ht="15" customHeight="1">
      <c r="A9" s="60" t="s">
        <v>41</v>
      </c>
      <c r="B9" s="60"/>
      <c r="C9" s="60"/>
      <c r="D9" s="60"/>
      <c r="E9" s="61" t="s">
        <v>2</v>
      </c>
      <c r="F9" s="60" t="str">
        <f>pa_nip</f>
        <v>19721231 199402 1 009</v>
      </c>
      <c r="G9" s="60"/>
      <c r="H9" s="60"/>
      <c r="I9" s="60"/>
      <c r="J9" s="60"/>
      <c r="K9" s="60"/>
      <c r="L9" s="60"/>
      <c r="M9" s="72"/>
    </row>
    <row r="10" spans="1:14" ht="15" customHeight="1">
      <c r="A10" s="60" t="s">
        <v>45</v>
      </c>
      <c r="B10" s="60"/>
      <c r="C10" s="60"/>
      <c r="D10" s="60"/>
      <c r="E10" s="61" t="s">
        <v>2</v>
      </c>
      <c r="F10" s="60" t="str">
        <f>pa_gol2&amp;" ("&amp;pa_gol&amp;")"</f>
        <v>Pembina Utama Muda (IV/c)</v>
      </c>
      <c r="G10" s="62"/>
      <c r="H10" s="62"/>
      <c r="I10" s="62"/>
      <c r="J10" s="62"/>
      <c r="K10" s="62"/>
      <c r="L10" s="62"/>
      <c r="M10" s="62"/>
    </row>
    <row r="11" spans="1:14" ht="24.75" customHeight="1">
      <c r="A11" s="60" t="s">
        <v>50</v>
      </c>
      <c r="B11" s="60"/>
      <c r="C11" s="60"/>
      <c r="D11" s="60"/>
      <c r="E11" s="61" t="s">
        <v>2</v>
      </c>
      <c r="F11" s="871" t="str">
        <f>pa_jab&amp;" selaku "&amp;pa_sku</f>
        <v>Kepala Badan Pengelolaan Keuangan dan Aset Daerah selaku Pengguna Anggaran</v>
      </c>
      <c r="G11" s="871"/>
      <c r="H11" s="871"/>
      <c r="I11" s="871"/>
      <c r="J11" s="871"/>
      <c r="K11" s="871"/>
      <c r="L11" s="871"/>
      <c r="M11" s="72"/>
    </row>
    <row r="12" spans="1:14" ht="15" customHeight="1">
      <c r="A12" s="60" t="s">
        <v>254</v>
      </c>
      <c r="B12" s="60"/>
      <c r="C12" s="60"/>
      <c r="D12" s="60"/>
      <c r="E12" s="60"/>
      <c r="F12" s="60"/>
      <c r="G12" s="60"/>
      <c r="H12" s="60"/>
      <c r="I12" s="60"/>
      <c r="J12" s="60"/>
      <c r="K12" s="72"/>
    </row>
    <row r="13" spans="1:14" ht="5.25" customHeight="1">
      <c r="A13" s="60"/>
      <c r="B13" s="60"/>
      <c r="C13" s="27"/>
      <c r="D13" s="27"/>
      <c r="E13" s="27"/>
      <c r="F13" s="27"/>
      <c r="G13" s="27"/>
      <c r="H13" s="27"/>
      <c r="I13" s="27"/>
      <c r="J13" s="27"/>
      <c r="K13" s="72"/>
    </row>
    <row r="14" spans="1:14" ht="15" customHeight="1">
      <c r="A14" s="60" t="s">
        <v>37</v>
      </c>
      <c r="B14" s="60"/>
      <c r="C14" s="60"/>
      <c r="D14" s="60"/>
      <c r="E14" s="61" t="s">
        <v>2</v>
      </c>
      <c r="F14" s="60" t="str">
        <f>ppk_nama</f>
        <v>Ika Kurnia Mustika, ST, MT</v>
      </c>
      <c r="G14" s="60"/>
      <c r="H14" s="60"/>
      <c r="I14" s="60"/>
      <c r="J14" s="60"/>
      <c r="K14" s="60"/>
      <c r="L14" s="60"/>
      <c r="M14" s="72"/>
    </row>
    <row r="15" spans="1:14" ht="15" customHeight="1">
      <c r="A15" s="60" t="s">
        <v>41</v>
      </c>
      <c r="B15" s="60"/>
      <c r="C15" s="60"/>
      <c r="D15" s="60"/>
      <c r="E15" s="61" t="s">
        <v>2</v>
      </c>
      <c r="F15" s="60" t="str">
        <f>ppk_nip</f>
        <v>19791117 200901 1 006</v>
      </c>
      <c r="G15" s="60"/>
      <c r="H15" s="60"/>
      <c r="I15" s="60"/>
      <c r="J15" s="60"/>
      <c r="K15" s="60"/>
      <c r="L15" s="60"/>
      <c r="M15" s="72"/>
    </row>
    <row r="16" spans="1:14" ht="15" customHeight="1">
      <c r="A16" s="60" t="s">
        <v>45</v>
      </c>
      <c r="B16" s="60"/>
      <c r="C16" s="60"/>
      <c r="D16" s="60"/>
      <c r="E16" s="61" t="s">
        <v>2</v>
      </c>
      <c r="F16" s="60" t="str">
        <f>ppk_gol2&amp;" ("&amp;ppk_gol&amp;")"</f>
        <v>Pembina Utama Muda (IV/c)</v>
      </c>
      <c r="G16" s="62"/>
      <c r="H16" s="62"/>
      <c r="I16" s="62"/>
      <c r="J16" s="62"/>
      <c r="K16" s="62"/>
      <c r="L16" s="62"/>
      <c r="M16" s="62"/>
    </row>
    <row r="17" spans="1:14" ht="24" customHeight="1">
      <c r="A17" s="60" t="s">
        <v>50</v>
      </c>
      <c r="B17" s="60"/>
      <c r="C17" s="60"/>
      <c r="D17" s="60"/>
      <c r="E17" s="61" t="s">
        <v>2</v>
      </c>
      <c r="F17" s="871" t="str">
        <f>ppk_jab</f>
        <v>Pejabat Pembuat Komitmen</v>
      </c>
      <c r="G17" s="871"/>
      <c r="H17" s="871"/>
      <c r="I17" s="871"/>
      <c r="J17" s="871"/>
      <c r="K17" s="871"/>
      <c r="L17" s="871"/>
      <c r="M17" s="72"/>
    </row>
    <row r="18" spans="1:14" ht="15" customHeight="1">
      <c r="A18" s="60" t="s">
        <v>255</v>
      </c>
      <c r="B18" s="60"/>
      <c r="C18" s="60"/>
      <c r="D18" s="60"/>
      <c r="E18" s="61" t="s">
        <v>2</v>
      </c>
      <c r="F18" s="884" t="s">
        <v>256</v>
      </c>
      <c r="G18" s="884"/>
      <c r="H18" s="884"/>
      <c r="I18" s="884"/>
      <c r="J18" s="884"/>
      <c r="K18" s="884"/>
      <c r="L18" s="884"/>
      <c r="N18" s="37"/>
    </row>
    <row r="19" spans="1:14" ht="15" customHeight="1">
      <c r="A19" s="60" t="s">
        <v>257</v>
      </c>
      <c r="B19" s="60"/>
      <c r="C19" s="27"/>
      <c r="D19" s="27"/>
      <c r="E19" s="61"/>
      <c r="F19" s="884"/>
      <c r="G19" s="884"/>
      <c r="H19" s="884"/>
      <c r="I19" s="884"/>
      <c r="J19" s="884"/>
      <c r="K19" s="884"/>
      <c r="L19" s="884"/>
      <c r="N19" s="37"/>
    </row>
    <row r="20" spans="1:14" ht="15" customHeight="1">
      <c r="B20" s="60"/>
      <c r="C20" s="60"/>
      <c r="D20" s="60"/>
      <c r="E20" s="61"/>
      <c r="F20" s="884"/>
      <c r="G20" s="884"/>
      <c r="H20" s="884"/>
      <c r="I20" s="884"/>
      <c r="J20" s="884"/>
      <c r="K20" s="884"/>
      <c r="L20" s="884"/>
      <c r="M20" s="72"/>
    </row>
    <row r="21" spans="1:14" ht="15" customHeight="1">
      <c r="B21" s="60"/>
      <c r="C21" s="60"/>
      <c r="D21" s="60"/>
      <c r="E21" s="61"/>
      <c r="F21" s="695" t="s">
        <v>258</v>
      </c>
      <c r="G21" s="872" t="s">
        <v>259</v>
      </c>
      <c r="H21" s="873"/>
      <c r="I21" s="873"/>
      <c r="J21" s="874"/>
      <c r="K21" s="872" t="s">
        <v>260</v>
      </c>
      <c r="L21" s="874"/>
      <c r="M21" s="72"/>
    </row>
    <row r="22" spans="1:14" ht="15" customHeight="1">
      <c r="A22" s="60"/>
      <c r="B22" s="60"/>
      <c r="C22" s="60"/>
      <c r="D22" s="60"/>
      <c r="E22" s="61"/>
      <c r="F22" s="528">
        <v>1</v>
      </c>
      <c r="G22" s="875" t="s">
        <v>261</v>
      </c>
      <c r="H22" s="876"/>
      <c r="I22" s="876"/>
      <c r="J22" s="877"/>
      <c r="K22" s="875" t="s">
        <v>262</v>
      </c>
      <c r="L22" s="877"/>
      <c r="M22" s="72"/>
    </row>
    <row r="23" spans="1:14" ht="15" customHeight="1">
      <c r="A23" s="60"/>
      <c r="B23" s="60"/>
      <c r="C23" s="60"/>
      <c r="D23" s="60"/>
      <c r="E23" s="61"/>
      <c r="F23" s="531" t="str">
        <f>IF(AND(F22&lt;&gt;"",G23&lt;&gt;""),F22+1,"")</f>
        <v/>
      </c>
      <c r="G23" s="878"/>
      <c r="H23" s="879"/>
      <c r="I23" s="879"/>
      <c r="J23" s="880"/>
      <c r="K23" s="878"/>
      <c r="L23" s="880"/>
      <c r="M23" s="72"/>
    </row>
    <row r="24" spans="1:14" ht="15" customHeight="1">
      <c r="A24" s="60"/>
      <c r="B24" s="60"/>
      <c r="C24" s="60"/>
      <c r="D24" s="60"/>
      <c r="E24" s="61"/>
      <c r="F24" s="531" t="str">
        <f t="shared" ref="F24:F31" si="0">IF(AND(F23&lt;&gt;"",G24&lt;&gt;""),F23+1,"")</f>
        <v/>
      </c>
      <c r="G24" s="878"/>
      <c r="H24" s="879"/>
      <c r="I24" s="879"/>
      <c r="J24" s="880"/>
      <c r="K24" s="878"/>
      <c r="L24" s="880"/>
      <c r="M24" s="72"/>
    </row>
    <row r="25" spans="1:14" ht="15" customHeight="1">
      <c r="A25" s="60"/>
      <c r="B25" s="60"/>
      <c r="C25" s="60"/>
      <c r="D25" s="60"/>
      <c r="E25" s="61"/>
      <c r="F25" s="531" t="str">
        <f t="shared" si="0"/>
        <v/>
      </c>
      <c r="G25" s="878"/>
      <c r="H25" s="879"/>
      <c r="I25" s="879"/>
      <c r="J25" s="880"/>
      <c r="K25" s="878"/>
      <c r="L25" s="880"/>
      <c r="M25" s="72"/>
    </row>
    <row r="26" spans="1:14" ht="15" customHeight="1">
      <c r="A26" s="60"/>
      <c r="B26" s="60"/>
      <c r="C26" s="60"/>
      <c r="D26" s="60"/>
      <c r="E26" s="61"/>
      <c r="F26" s="531" t="str">
        <f t="shared" si="0"/>
        <v/>
      </c>
      <c r="G26" s="878"/>
      <c r="H26" s="879"/>
      <c r="I26" s="879"/>
      <c r="J26" s="880"/>
      <c r="K26" s="878"/>
      <c r="L26" s="880"/>
      <c r="M26" s="72"/>
    </row>
    <row r="27" spans="1:14" ht="15" customHeight="1">
      <c r="A27" s="60"/>
      <c r="B27" s="60"/>
      <c r="C27" s="60"/>
      <c r="D27" s="60"/>
      <c r="E27" s="61"/>
      <c r="F27" s="531" t="str">
        <f t="shared" si="0"/>
        <v/>
      </c>
      <c r="G27" s="878"/>
      <c r="H27" s="879"/>
      <c r="I27" s="879"/>
      <c r="J27" s="880"/>
      <c r="K27" s="878"/>
      <c r="L27" s="880"/>
      <c r="M27" s="72"/>
    </row>
    <row r="28" spans="1:14" ht="15" customHeight="1">
      <c r="A28" s="60"/>
      <c r="B28" s="60"/>
      <c r="C28" s="60"/>
      <c r="D28" s="60"/>
      <c r="E28" s="61"/>
      <c r="F28" s="531" t="str">
        <f t="shared" si="0"/>
        <v/>
      </c>
      <c r="G28" s="878"/>
      <c r="H28" s="879"/>
      <c r="I28" s="879"/>
      <c r="J28" s="880"/>
      <c r="K28" s="878"/>
      <c r="L28" s="880"/>
      <c r="M28" s="72"/>
    </row>
    <row r="29" spans="1:14" ht="15" customHeight="1">
      <c r="A29" s="60"/>
      <c r="B29" s="60"/>
      <c r="C29" s="60"/>
      <c r="D29" s="60"/>
      <c r="E29" s="61"/>
      <c r="F29" s="531" t="str">
        <f t="shared" si="0"/>
        <v/>
      </c>
      <c r="G29" s="878"/>
      <c r="H29" s="879"/>
      <c r="I29" s="879"/>
      <c r="J29" s="880"/>
      <c r="K29" s="878"/>
      <c r="L29" s="880"/>
      <c r="M29" s="72"/>
    </row>
    <row r="30" spans="1:14" ht="15" hidden="1" customHeight="1">
      <c r="A30" s="60"/>
      <c r="B30" s="60"/>
      <c r="C30" s="60"/>
      <c r="D30" s="60"/>
      <c r="E30" s="61"/>
      <c r="F30" s="531" t="str">
        <f t="shared" si="0"/>
        <v/>
      </c>
      <c r="G30" s="878"/>
      <c r="H30" s="879"/>
      <c r="I30" s="879"/>
      <c r="J30" s="880"/>
      <c r="K30" s="878"/>
      <c r="L30" s="880"/>
      <c r="M30" s="72"/>
    </row>
    <row r="31" spans="1:14" ht="15" hidden="1" customHeight="1">
      <c r="A31" s="60"/>
      <c r="B31" s="60"/>
      <c r="C31" s="60"/>
      <c r="D31" s="60"/>
      <c r="E31" s="61"/>
      <c r="F31" s="531" t="str">
        <f t="shared" si="0"/>
        <v/>
      </c>
      <c r="G31" s="878"/>
      <c r="H31" s="879"/>
      <c r="I31" s="879"/>
      <c r="J31" s="880"/>
      <c r="K31" s="878"/>
      <c r="L31" s="880"/>
      <c r="M31" s="72"/>
    </row>
    <row r="32" spans="1:14" ht="15" hidden="1" customHeight="1">
      <c r="A32" s="60"/>
      <c r="B32" s="60"/>
      <c r="C32" s="60"/>
      <c r="D32" s="60"/>
      <c r="E32" s="61"/>
      <c r="F32" s="531" t="str">
        <f t="shared" ref="F32:F37" si="1">IF(AND(F31&lt;&gt;"",G32&lt;&gt;""),F31+1,"")</f>
        <v/>
      </c>
      <c r="G32" s="878"/>
      <c r="H32" s="879"/>
      <c r="I32" s="879"/>
      <c r="J32" s="880"/>
      <c r="K32" s="878"/>
      <c r="L32" s="880"/>
      <c r="M32" s="72"/>
    </row>
    <row r="33" spans="1:13" ht="15" hidden="1" customHeight="1">
      <c r="A33" s="60"/>
      <c r="B33" s="60"/>
      <c r="C33" s="60"/>
      <c r="D33" s="60"/>
      <c r="E33" s="61"/>
      <c r="F33" s="531" t="str">
        <f t="shared" si="1"/>
        <v/>
      </c>
      <c r="G33" s="878"/>
      <c r="H33" s="879"/>
      <c r="I33" s="879"/>
      <c r="J33" s="880"/>
      <c r="K33" s="878"/>
      <c r="L33" s="880"/>
      <c r="M33" s="72"/>
    </row>
    <row r="34" spans="1:13" ht="15" hidden="1" customHeight="1">
      <c r="A34" s="60"/>
      <c r="B34" s="60"/>
      <c r="C34" s="60"/>
      <c r="D34" s="60"/>
      <c r="E34" s="61"/>
      <c r="F34" s="531" t="str">
        <f t="shared" si="1"/>
        <v/>
      </c>
      <c r="G34" s="878"/>
      <c r="H34" s="879"/>
      <c r="I34" s="879"/>
      <c r="J34" s="880"/>
      <c r="K34" s="878"/>
      <c r="L34" s="880"/>
      <c r="M34" s="72"/>
    </row>
    <row r="35" spans="1:13" ht="15" hidden="1" customHeight="1">
      <c r="A35" s="60"/>
      <c r="B35" s="60"/>
      <c r="C35" s="60"/>
      <c r="D35" s="60"/>
      <c r="E35" s="61"/>
      <c r="F35" s="531" t="str">
        <f t="shared" si="1"/>
        <v/>
      </c>
      <c r="G35" s="878"/>
      <c r="H35" s="879"/>
      <c r="I35" s="879"/>
      <c r="J35" s="880"/>
      <c r="K35" s="878"/>
      <c r="L35" s="880"/>
      <c r="M35" s="72"/>
    </row>
    <row r="36" spans="1:13" ht="15" hidden="1" customHeight="1">
      <c r="A36" s="60"/>
      <c r="B36" s="60"/>
      <c r="C36" s="60"/>
      <c r="D36" s="60"/>
      <c r="E36" s="61"/>
      <c r="F36" s="531" t="str">
        <f t="shared" si="1"/>
        <v/>
      </c>
      <c r="G36" s="878"/>
      <c r="H36" s="879"/>
      <c r="I36" s="879"/>
      <c r="J36" s="880"/>
      <c r="K36" s="878"/>
      <c r="L36" s="880"/>
      <c r="M36" s="72"/>
    </row>
    <row r="37" spans="1:13" ht="15" hidden="1" customHeight="1">
      <c r="A37" s="60"/>
      <c r="B37" s="60"/>
      <c r="C37" s="60"/>
      <c r="D37" s="60"/>
      <c r="E37" s="61"/>
      <c r="F37" s="531" t="str">
        <f t="shared" si="1"/>
        <v/>
      </c>
      <c r="G37" s="878"/>
      <c r="H37" s="879"/>
      <c r="I37" s="879"/>
      <c r="J37" s="880"/>
      <c r="K37" s="878"/>
      <c r="L37" s="880"/>
      <c r="M37" s="72"/>
    </row>
    <row r="38" spans="1:13" ht="15" hidden="1" customHeight="1">
      <c r="A38" s="60"/>
      <c r="B38" s="60"/>
      <c r="C38" s="60"/>
      <c r="D38" s="60"/>
      <c r="E38" s="61"/>
      <c r="F38" s="531" t="str">
        <f t="shared" ref="F38:F41" si="2">IF(AND(F37&lt;&gt;"",G38&lt;&gt;""),F37+1,"")</f>
        <v/>
      </c>
      <c r="G38" s="878"/>
      <c r="H38" s="879"/>
      <c r="I38" s="879"/>
      <c r="J38" s="880"/>
      <c r="K38" s="878"/>
      <c r="L38" s="880"/>
      <c r="M38" s="72"/>
    </row>
    <row r="39" spans="1:13" ht="15" hidden="1" customHeight="1">
      <c r="A39" s="60"/>
      <c r="B39" s="60"/>
      <c r="C39" s="60"/>
      <c r="D39" s="60"/>
      <c r="E39" s="61"/>
      <c r="F39" s="531" t="str">
        <f t="shared" si="2"/>
        <v/>
      </c>
      <c r="G39" s="878"/>
      <c r="H39" s="879"/>
      <c r="I39" s="879"/>
      <c r="J39" s="880"/>
      <c r="K39" s="878"/>
      <c r="L39" s="880"/>
      <c r="M39" s="72"/>
    </row>
    <row r="40" spans="1:13" ht="15" hidden="1" customHeight="1">
      <c r="A40" s="60"/>
      <c r="B40" s="60"/>
      <c r="C40" s="60"/>
      <c r="D40" s="60"/>
      <c r="E40" s="61"/>
      <c r="F40" s="531" t="str">
        <f t="shared" si="2"/>
        <v/>
      </c>
      <c r="G40" s="878"/>
      <c r="H40" s="879"/>
      <c r="I40" s="879"/>
      <c r="J40" s="880"/>
      <c r="K40" s="878"/>
      <c r="L40" s="880"/>
      <c r="M40" s="72"/>
    </row>
    <row r="41" spans="1:13" ht="15" customHeight="1">
      <c r="A41" s="60"/>
      <c r="B41" s="60"/>
      <c r="C41" s="60"/>
      <c r="D41" s="60"/>
      <c r="E41" s="61"/>
      <c r="F41" s="534" t="str">
        <f t="shared" si="2"/>
        <v/>
      </c>
      <c r="G41" s="881"/>
      <c r="H41" s="882"/>
      <c r="I41" s="882"/>
      <c r="J41" s="883"/>
      <c r="K41" s="881"/>
      <c r="L41" s="883"/>
      <c r="M41" s="72"/>
    </row>
    <row r="42" spans="1:13" ht="15" customHeight="1">
      <c r="A42" s="60"/>
      <c r="B42" s="60"/>
      <c r="C42" s="60"/>
      <c r="D42" s="60"/>
      <c r="E42" s="61"/>
      <c r="F42" s="62"/>
      <c r="G42" s="62"/>
      <c r="H42" s="62"/>
      <c r="I42" s="62"/>
      <c r="J42" s="62"/>
      <c r="K42" s="62"/>
      <c r="L42" s="62"/>
      <c r="M42" s="72"/>
    </row>
    <row r="43" spans="1:13" ht="15" customHeight="1">
      <c r="A43" s="60" t="s">
        <v>263</v>
      </c>
      <c r="B43" s="60"/>
      <c r="C43" s="60"/>
      <c r="D43" s="60"/>
      <c r="E43" s="61" t="s">
        <v>2</v>
      </c>
      <c r="F43" s="60" t="str">
        <f>"Januari s.d Desember "&amp;tahun</f>
        <v>Januari s.d Desember 2025</v>
      </c>
      <c r="G43" s="60"/>
      <c r="H43" s="60"/>
      <c r="I43" s="60"/>
      <c r="J43" s="60"/>
      <c r="K43" s="60"/>
      <c r="L43" s="60"/>
      <c r="M43" s="72"/>
    </row>
    <row r="44" spans="1:13" ht="15" customHeight="1">
      <c r="A44" s="60" t="s">
        <v>18</v>
      </c>
      <c r="B44" s="60"/>
      <c r="C44" s="60"/>
      <c r="D44" s="60"/>
      <c r="E44" s="61" t="s">
        <v>2</v>
      </c>
      <c r="F44" s="60" t="str">
        <f>dana&amp;" "&amp;opd_nama&amp;" Tahun Anggaran "&amp;tahun</f>
        <v>DPA Badan Pengelolaan Keuangan dan Aset Daerah Tahun Anggaran 2025</v>
      </c>
      <c r="G44" s="62"/>
      <c r="H44" s="62"/>
      <c r="I44" s="62"/>
      <c r="J44" s="62"/>
      <c r="K44" s="62"/>
      <c r="L44" s="62"/>
      <c r="M44" s="62"/>
    </row>
    <row r="45" spans="1:13" ht="5.25" customHeight="1">
      <c r="A45" s="60"/>
      <c r="B45" s="60"/>
      <c r="C45" s="60"/>
      <c r="D45" s="60"/>
      <c r="E45" s="60"/>
      <c r="F45" s="60"/>
      <c r="G45" s="60"/>
      <c r="H45" s="60"/>
      <c r="I45" s="60"/>
      <c r="J45" s="60"/>
      <c r="K45" s="72"/>
    </row>
    <row r="46" spans="1:13" ht="15" customHeight="1">
      <c r="A46" s="60" t="s">
        <v>264</v>
      </c>
      <c r="B46" s="60"/>
      <c r="C46" s="60"/>
      <c r="D46" s="60"/>
      <c r="E46" s="60"/>
      <c r="F46" s="60"/>
      <c r="G46" s="60"/>
      <c r="H46" s="60"/>
      <c r="I46" s="60"/>
      <c r="J46" s="60"/>
      <c r="K46" s="72"/>
    </row>
    <row r="47" spans="1:13" ht="5.25" customHeight="1">
      <c r="A47" s="60"/>
      <c r="B47" s="60"/>
      <c r="C47" s="27"/>
      <c r="D47" s="27"/>
      <c r="E47" s="27"/>
      <c r="F47" s="27"/>
      <c r="G47" s="27"/>
      <c r="H47" s="27"/>
      <c r="I47" s="27"/>
      <c r="J47" s="27"/>
      <c r="K47" s="72"/>
    </row>
    <row r="48" spans="1:13" ht="15" customHeight="1">
      <c r="A48" s="60"/>
      <c r="B48" s="60"/>
      <c r="C48" s="27"/>
      <c r="D48" s="27"/>
      <c r="E48" s="27"/>
      <c r="F48" s="27"/>
      <c r="G48" s="27"/>
      <c r="H48" s="27"/>
      <c r="I48" s="27"/>
      <c r="J48" s="44" t="str">
        <f>pa_lok&amp;", "&amp;Input!H74</f>
        <v>Mataram, 3 Oktober 2025</v>
      </c>
      <c r="K48" s="72"/>
    </row>
    <row r="49" spans="1:13" ht="15" customHeight="1">
      <c r="C49" s="43"/>
      <c r="D49" s="43"/>
      <c r="J49" s="67" t="str">
        <f>pa_jab</f>
        <v>Kepala Badan Pengelolaan Keuangan dan Aset Daerah</v>
      </c>
      <c r="K49" s="67"/>
      <c r="L49" s="53"/>
      <c r="M49" s="53"/>
    </row>
    <row r="50" spans="1:13" ht="15" customHeight="1">
      <c r="C50" s="43"/>
      <c r="D50" s="43"/>
      <c r="J50" s="54" t="str">
        <f>"selaku "&amp;pa_sku</f>
        <v>selaku Pengguna Anggaran</v>
      </c>
      <c r="K50" s="54"/>
      <c r="L50" s="53"/>
      <c r="M50" s="53"/>
    </row>
    <row r="51" spans="1:13" ht="15" customHeight="1">
      <c r="C51" s="43"/>
      <c r="D51" s="43"/>
      <c r="J51" s="44"/>
      <c r="K51" s="44"/>
      <c r="L51" s="53"/>
      <c r="M51" s="53"/>
    </row>
    <row r="52" spans="1:13" ht="15" customHeight="1">
      <c r="C52" s="43"/>
      <c r="D52" s="43"/>
      <c r="J52" s="44"/>
      <c r="K52" s="44"/>
      <c r="L52" s="53"/>
      <c r="M52" s="53"/>
    </row>
    <row r="53" spans="1:13" ht="15" customHeight="1">
      <c r="C53" s="43"/>
      <c r="D53" s="43"/>
      <c r="J53" s="44"/>
      <c r="K53" s="44"/>
      <c r="L53" s="53"/>
      <c r="M53" s="53"/>
    </row>
    <row r="54" spans="1:13" ht="15" customHeight="1">
      <c r="C54" s="43"/>
      <c r="D54" s="43"/>
      <c r="J54" s="55" t="str">
        <f>pa_nam</f>
        <v>Dr. H. Nursalim., S.Sos., M.M</v>
      </c>
      <c r="K54" s="55"/>
      <c r="L54" s="53"/>
      <c r="M54" s="53"/>
    </row>
    <row r="55" spans="1:13" ht="15" customHeight="1">
      <c r="C55" s="43"/>
      <c r="D55" s="43"/>
      <c r="J55" s="54" t="str">
        <f>pa_gol2&amp;" ("&amp;pa_gol&amp;")"</f>
        <v>Pembina Utama Muda (IV/c)</v>
      </c>
      <c r="K55" s="55"/>
      <c r="L55" s="53"/>
      <c r="M55" s="53"/>
    </row>
    <row r="56" spans="1:13" ht="15" customHeight="1">
      <c r="C56" s="43"/>
      <c r="D56" s="43"/>
      <c r="J56" s="44" t="str">
        <f>"NIP. "&amp;pa_nip</f>
        <v>NIP. 19721231 199402 1 009</v>
      </c>
      <c r="K56" s="44"/>
      <c r="L56" s="53"/>
      <c r="M56" s="53"/>
    </row>
    <row r="57" spans="1:13" ht="15" customHeight="1">
      <c r="A57" s="37" t="s">
        <v>265</v>
      </c>
      <c r="B57" s="37"/>
      <c r="C57" s="38"/>
      <c r="D57" s="38"/>
      <c r="E57" s="37"/>
      <c r="F57" s="37"/>
      <c r="G57" s="37"/>
      <c r="H57" s="37"/>
      <c r="I57" s="37"/>
      <c r="J57" s="37"/>
      <c r="K57" s="37"/>
      <c r="L57" s="37"/>
    </row>
    <row r="58" spans="1:13" ht="15" customHeight="1">
      <c r="A58" s="796" t="str">
        <f>"1. "&amp;apip&amp;" di "&amp;apip_lok&amp;";"</f>
        <v>1. Inspektur Provinsi NTB di Mataram;</v>
      </c>
      <c r="B58" s="37"/>
      <c r="C58" s="38"/>
      <c r="D58" s="38"/>
      <c r="E58" s="37"/>
      <c r="F58" s="37"/>
      <c r="G58" s="37"/>
      <c r="H58" s="37"/>
      <c r="I58" s="39"/>
      <c r="J58" s="39"/>
      <c r="K58" s="37"/>
      <c r="L58" s="37"/>
    </row>
    <row r="59" spans="1:13" ht="15" customHeight="1">
      <c r="A59" s="37" t="s">
        <v>266</v>
      </c>
      <c r="B59" s="37"/>
      <c r="C59" s="38"/>
      <c r="D59" s="38"/>
      <c r="E59" s="37"/>
      <c r="F59" s="37"/>
      <c r="G59" s="37"/>
      <c r="H59" s="37"/>
      <c r="I59" s="37"/>
      <c r="J59" s="37"/>
      <c r="K59" s="37"/>
      <c r="L59" s="37"/>
    </row>
    <row r="60" spans="1:13" ht="5.25" customHeight="1">
      <c r="C60" s="43"/>
      <c r="D60" s="43"/>
      <c r="I60" s="44"/>
      <c r="J60" s="44"/>
      <c r="K60" s="53"/>
      <c r="L60" s="53"/>
    </row>
  </sheetData>
  <mergeCells count="50">
    <mergeCell ref="G41:J41"/>
    <mergeCell ref="K41:L41"/>
    <mergeCell ref="F18:L20"/>
    <mergeCell ref="G38:J38"/>
    <mergeCell ref="K38:L38"/>
    <mergeCell ref="G39:J39"/>
    <mergeCell ref="K39:L39"/>
    <mergeCell ref="G40:J40"/>
    <mergeCell ref="K40:L40"/>
    <mergeCell ref="G35:J35"/>
    <mergeCell ref="K35:L35"/>
    <mergeCell ref="G36:J36"/>
    <mergeCell ref="K36:L36"/>
    <mergeCell ref="G37:J37"/>
    <mergeCell ref="K37:L37"/>
    <mergeCell ref="G32:J32"/>
    <mergeCell ref="K32:L32"/>
    <mergeCell ref="G33:J33"/>
    <mergeCell ref="K33:L33"/>
    <mergeCell ref="G34:J34"/>
    <mergeCell ref="K34:L34"/>
    <mergeCell ref="G29:J29"/>
    <mergeCell ref="K29:L29"/>
    <mergeCell ref="G30:J30"/>
    <mergeCell ref="K30:L30"/>
    <mergeCell ref="G31:J31"/>
    <mergeCell ref="K31:L31"/>
    <mergeCell ref="G26:J26"/>
    <mergeCell ref="K26:L26"/>
    <mergeCell ref="G27:J27"/>
    <mergeCell ref="K27:L27"/>
    <mergeCell ref="G28:J28"/>
    <mergeCell ref="K28:L28"/>
    <mergeCell ref="G23:J23"/>
    <mergeCell ref="K23:L23"/>
    <mergeCell ref="G24:J24"/>
    <mergeCell ref="K24:L24"/>
    <mergeCell ref="G25:J25"/>
    <mergeCell ref="K25:L25"/>
    <mergeCell ref="F11:L11"/>
    <mergeCell ref="F17:L17"/>
    <mergeCell ref="G21:J21"/>
    <mergeCell ref="K21:L21"/>
    <mergeCell ref="G22:J22"/>
    <mergeCell ref="K22:L22"/>
    <mergeCell ref="D1:L1"/>
    <mergeCell ref="D2:L2"/>
    <mergeCell ref="D3:L3"/>
    <mergeCell ref="A5:L5"/>
    <mergeCell ref="A6:L6"/>
  </mergeCells>
  <hyperlinks>
    <hyperlink ref="N6" location="Input!A72" display="balik ke input" xr:uid="{00000000-0004-0000-0100-000000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colBreaks count="1" manualBreakCount="1">
    <brk id="12" max="71"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F0"/>
  </sheetPr>
  <dimension ref="A1:J51"/>
  <sheetViews>
    <sheetView view="pageBreakPreview" topLeftCell="A38" zoomScale="130" zoomScaleNormal="100" workbookViewId="0">
      <selection activeCell="B38" sqref="B38:H40"/>
    </sheetView>
  </sheetViews>
  <sheetFormatPr defaultColWidth="9" defaultRowHeight="14.25"/>
  <cols>
    <col min="1" max="2" width="4.6640625" style="399" customWidth="1"/>
    <col min="3" max="3" width="2.19921875" style="399" customWidth="1"/>
    <col min="4" max="4" width="17.33203125" style="399" customWidth="1"/>
    <col min="5" max="5" width="1.53125" style="399" customWidth="1"/>
    <col min="6" max="6" width="12.19921875" style="399" customWidth="1"/>
    <col min="7" max="7" width="2.19921875" style="399" customWidth="1"/>
    <col min="8" max="8" width="42.33203125" style="399" customWidth="1"/>
    <col min="9" max="9" width="7.19921875" style="399" customWidth="1"/>
    <col min="10" max="16384" width="9" style="399"/>
  </cols>
  <sheetData>
    <row r="1" spans="1:10" s="18" customFormat="1" ht="17.25">
      <c r="D1" s="866" t="str">
        <f>opd_lok</f>
        <v>Provinsi Nusa Tenggara Barat</v>
      </c>
      <c r="E1" s="866"/>
      <c r="F1" s="866"/>
      <c r="G1" s="866"/>
      <c r="H1" s="866"/>
      <c r="I1" s="57"/>
      <c r="J1" s="57"/>
    </row>
    <row r="2" spans="1:10" s="18" customFormat="1" ht="47.1" customHeight="1">
      <c r="D2" s="867" t="str">
        <f>opd_nama</f>
        <v>Badan Pengelolaan Keuangan dan Aset Daerah</v>
      </c>
      <c r="E2" s="867"/>
      <c r="F2" s="867"/>
      <c r="G2" s="867"/>
      <c r="H2" s="867"/>
      <c r="I2" s="22"/>
    </row>
    <row r="3" spans="1:10" s="18" customFormat="1" ht="17.850000000000001" customHeight="1">
      <c r="A3" s="24"/>
      <c r="B3" s="24"/>
      <c r="C3" s="24"/>
      <c r="D3" s="868" t="str">
        <f>opd_almt</f>
        <v>Jalan Pejanggik Nomor 14 Telp.( 0370 ) 627689, 625345 Fax: 627677</v>
      </c>
      <c r="E3" s="868"/>
      <c r="F3" s="868"/>
      <c r="G3" s="868"/>
      <c r="H3" s="868"/>
    </row>
    <row r="4" spans="1:10" s="18" customFormat="1" ht="5.25" customHeight="1"/>
    <row r="5" spans="1:10" s="18" customFormat="1" ht="15" customHeight="1">
      <c r="A5" s="60" t="s">
        <v>237</v>
      </c>
      <c r="B5" s="60"/>
      <c r="C5" s="60" t="s">
        <v>2</v>
      </c>
      <c r="D5" s="60" t="str">
        <f>Input!D75</f>
        <v>027/SRT/A/VII/20/2023</v>
      </c>
      <c r="E5" s="60"/>
      <c r="F5" s="60"/>
      <c r="G5" s="60"/>
      <c r="H5" s="60"/>
      <c r="I5" s="60"/>
      <c r="J5" s="71" t="s">
        <v>253</v>
      </c>
    </row>
    <row r="6" spans="1:10" s="18" customFormat="1" ht="15" customHeight="1">
      <c r="A6" s="37" t="s">
        <v>267</v>
      </c>
      <c r="B6" s="37"/>
      <c r="C6" s="37" t="s">
        <v>2</v>
      </c>
      <c r="D6" s="37" t="s">
        <v>268</v>
      </c>
      <c r="E6" s="37"/>
      <c r="F6" s="37"/>
      <c r="G6" s="37"/>
      <c r="H6" s="37"/>
      <c r="I6" s="37"/>
      <c r="J6" s="37"/>
    </row>
    <row r="7" spans="1:10" s="18" customFormat="1" ht="30" customHeight="1">
      <c r="A7" s="60" t="s">
        <v>269</v>
      </c>
      <c r="B7" s="60"/>
      <c r="C7" s="60" t="s">
        <v>2</v>
      </c>
      <c r="D7" s="885" t="str">
        <f>"Penetapan Dokumen Persiapan Pengadaan "&amp;paket&amp;" Tahun Anggaran "&amp;tahun</f>
        <v>Penetapan Dokumen Persiapan Pengadaan Belanja Pemeliharaan Bangunan Gedung-Bangunan Gedung Tempat Kerja-Bangunan Gedung Kantor-Pemeliharaan Gedung Bertingkat Tahun Anggaran 2025</v>
      </c>
      <c r="E7" s="885"/>
      <c r="F7" s="885"/>
      <c r="G7" s="885"/>
      <c r="H7" s="885"/>
    </row>
    <row r="8" spans="1:10" s="18" customFormat="1"/>
    <row r="9" spans="1:10" customFormat="1" ht="15" customHeight="1">
      <c r="A9" s="890" t="str">
        <f>"Pada hari ini, "&amp;TEXT(Input!H75,"[$-421]dddd, d mmmm yyyy")&amp;", dengan memperhatikan "&amp;Input!D20&amp;" ditetapkan Dokumen Persiapan Pengadaan sebagai berikut:"</f>
        <v>Pada hari ini, Senin, 6 Oktober 2025, dengan memperhatikan Peraturan Presiden Republik Indonesia Nomor 46 Tahun 2025 beserta perubahan dan petunjuk teknisnya. ditetapkan Dokumen Persiapan Pengadaan sebagai berikut:</v>
      </c>
      <c r="B9" s="890"/>
      <c r="C9" s="890"/>
      <c r="D9" s="890"/>
      <c r="E9" s="890"/>
      <c r="F9" s="890"/>
      <c r="G9" s="890"/>
      <c r="H9" s="890"/>
      <c r="I9" s="59"/>
    </row>
    <row r="10" spans="1:10" customFormat="1" ht="15" customHeight="1">
      <c r="A10" s="890"/>
      <c r="B10" s="890"/>
      <c r="C10" s="890"/>
      <c r="D10" s="890"/>
      <c r="E10" s="890"/>
      <c r="F10" s="890"/>
      <c r="G10" s="890"/>
      <c r="H10" s="890"/>
      <c r="I10" s="59"/>
    </row>
    <row r="11" spans="1:10" customFormat="1" ht="15" customHeight="1">
      <c r="A11" s="890"/>
      <c r="B11" s="890"/>
      <c r="C11" s="890"/>
      <c r="D11" s="890"/>
      <c r="E11" s="890"/>
      <c r="F11" s="890"/>
      <c r="G11" s="890"/>
      <c r="H11" s="890"/>
      <c r="I11" s="64"/>
      <c r="J11" s="18"/>
    </row>
    <row r="12" spans="1:10" s="18" customFormat="1" ht="3" customHeight="1">
      <c r="B12" s="43"/>
      <c r="C12" s="43"/>
      <c r="G12" s="44"/>
      <c r="H12" s="53"/>
      <c r="I12" s="53"/>
    </row>
    <row r="13" spans="1:10">
      <c r="A13" s="518" t="s">
        <v>270</v>
      </c>
      <c r="B13" s="518" t="s">
        <v>271</v>
      </c>
      <c r="C13" s="519"/>
      <c r="D13" s="519"/>
      <c r="E13" s="519"/>
      <c r="F13" s="519"/>
      <c r="G13" s="519"/>
      <c r="H13" s="519"/>
      <c r="I13" s="519"/>
    </row>
    <row r="14" spans="1:10" ht="15" customHeight="1">
      <c r="A14" s="519"/>
      <c r="B14" s="497" t="s">
        <v>258</v>
      </c>
      <c r="C14" s="886" t="s">
        <v>272</v>
      </c>
      <c r="D14" s="886"/>
      <c r="E14" s="886"/>
      <c r="F14" s="886"/>
      <c r="G14" s="886"/>
      <c r="H14" s="497" t="s">
        <v>273</v>
      </c>
      <c r="I14" s="519"/>
    </row>
    <row r="15" spans="1:10" ht="15" customHeight="1">
      <c r="A15" s="519"/>
      <c r="B15" s="498">
        <v>1</v>
      </c>
      <c r="C15" s="673" t="s">
        <v>4</v>
      </c>
      <c r="D15" s="674"/>
      <c r="E15" s="674"/>
      <c r="F15" s="674"/>
      <c r="G15" s="675"/>
      <c r="H15" s="676" t="str">
        <f>jenis</f>
        <v>Pekerjaan Konstruksi</v>
      </c>
      <c r="I15" s="519"/>
    </row>
    <row r="16" spans="1:10" ht="15" customHeight="1">
      <c r="A16" s="519"/>
      <c r="B16" s="498">
        <v>2</v>
      </c>
      <c r="C16" s="673" t="s">
        <v>25</v>
      </c>
      <c r="D16" s="674"/>
      <c r="E16" s="674"/>
      <c r="F16" s="674"/>
      <c r="G16" s="675"/>
      <c r="H16" s="676" t="str">
        <f>hsls</f>
        <v>Lumsum</v>
      </c>
      <c r="I16" s="519"/>
    </row>
    <row r="17" spans="1:9" ht="15" customHeight="1">
      <c r="A17" s="519"/>
      <c r="B17" s="499">
        <v>3</v>
      </c>
      <c r="C17" s="677" t="s">
        <v>274</v>
      </c>
      <c r="D17" s="678"/>
      <c r="E17" s="678"/>
      <c r="F17" s="678"/>
      <c r="G17" s="679"/>
      <c r="H17" s="680">
        <f>pagu</f>
        <v>91430000</v>
      </c>
      <c r="I17" s="519"/>
    </row>
    <row r="18" spans="1:9" ht="15" customHeight="1">
      <c r="A18" s="519"/>
      <c r="B18" s="681"/>
      <c r="C18" s="893" t="str">
        <f>"Apakah tersedia dalam "&amp;dana&amp;" dan jumlahnya cukup?"</f>
        <v>Apakah tersedia dalam DPA dan jumlahnya cukup?</v>
      </c>
      <c r="D18" s="894"/>
      <c r="E18" s="894"/>
      <c r="F18" s="894"/>
      <c r="G18" s="895"/>
      <c r="H18" s="887" t="str">
        <f>"Tercantum dalam "&amp;dana&amp;" "&amp;opd_nama&amp;" Tahun Anggaran "&amp;tahun</f>
        <v>Tercantum dalam DPA Badan Pengelolaan Keuangan dan Aset Daerah Tahun Anggaran 2025</v>
      </c>
      <c r="I18" s="519"/>
    </row>
    <row r="19" spans="1:9" ht="15" customHeight="1">
      <c r="A19" s="519"/>
      <c r="B19" s="682"/>
      <c r="C19" s="896"/>
      <c r="D19" s="897"/>
      <c r="E19" s="897"/>
      <c r="F19" s="897"/>
      <c r="G19" s="898"/>
      <c r="H19" s="888"/>
      <c r="I19" s="519"/>
    </row>
    <row r="20" spans="1:9" ht="15" customHeight="1">
      <c r="A20" s="519"/>
      <c r="B20" s="683">
        <v>4</v>
      </c>
      <c r="C20" s="684" t="s">
        <v>14</v>
      </c>
      <c r="D20" s="685"/>
      <c r="E20" s="685"/>
      <c r="F20" s="685"/>
      <c r="G20" s="686"/>
      <c r="H20" s="887" t="str">
        <f>Input!D8</f>
        <v>Provinsi Nusa Tenggara Barat</v>
      </c>
      <c r="I20" s="504" t="s">
        <v>275</v>
      </c>
    </row>
    <row r="21" spans="1:9" ht="15" customHeight="1">
      <c r="A21" s="519"/>
      <c r="B21" s="687"/>
      <c r="C21" s="688"/>
      <c r="D21" s="519"/>
      <c r="E21" s="519"/>
      <c r="F21" s="519"/>
      <c r="G21" s="689"/>
      <c r="H21" s="889"/>
      <c r="I21" s="519"/>
    </row>
    <row r="22" spans="1:9" ht="15" customHeight="1">
      <c r="A22" s="519"/>
      <c r="B22" s="498"/>
      <c r="C22" s="673"/>
      <c r="D22" s="674"/>
      <c r="E22" s="674"/>
      <c r="F22" s="674"/>
      <c r="G22" s="675"/>
      <c r="H22" s="888"/>
      <c r="I22" s="519"/>
    </row>
    <row r="23" spans="1:9" ht="15" customHeight="1">
      <c r="A23" s="519"/>
      <c r="B23" s="499">
        <v>5</v>
      </c>
      <c r="C23" s="677" t="s">
        <v>276</v>
      </c>
      <c r="D23" s="678"/>
      <c r="E23" s="678"/>
      <c r="F23" s="678"/>
      <c r="G23" s="679"/>
      <c r="H23" s="679"/>
      <c r="I23" s="519"/>
    </row>
    <row r="24" spans="1:9" ht="15" customHeight="1">
      <c r="A24" s="519"/>
      <c r="B24" s="499">
        <v>6</v>
      </c>
      <c r="C24" s="677" t="s">
        <v>24</v>
      </c>
      <c r="D24" s="678"/>
      <c r="E24" s="678"/>
      <c r="F24" s="678"/>
      <c r="G24" s="679"/>
      <c r="H24" s="680">
        <f>hps</f>
        <v>69862000</v>
      </c>
      <c r="I24" s="519"/>
    </row>
    <row r="25" spans="1:9" ht="15" customHeight="1">
      <c r="A25" s="519"/>
      <c r="B25" s="499">
        <v>7</v>
      </c>
      <c r="C25" s="677" t="s">
        <v>277</v>
      </c>
      <c r="D25" s="678"/>
      <c r="E25" s="678"/>
      <c r="F25" s="678"/>
      <c r="G25" s="679"/>
      <c r="H25" s="679"/>
      <c r="I25" s="519"/>
    </row>
    <row r="26" spans="1:9" ht="15" customHeight="1">
      <c r="A26" s="519"/>
      <c r="B26" s="499"/>
      <c r="C26" s="677" t="s">
        <v>220</v>
      </c>
      <c r="D26" s="678"/>
      <c r="E26" s="678"/>
      <c r="F26" s="678"/>
      <c r="G26" s="679"/>
      <c r="H26" s="690" t="s">
        <v>278</v>
      </c>
      <c r="I26" s="519"/>
    </row>
    <row r="27" spans="1:9" ht="15" customHeight="1">
      <c r="A27" s="519"/>
      <c r="B27" s="499"/>
      <c r="C27" s="677" t="s">
        <v>279</v>
      </c>
      <c r="D27" s="678"/>
      <c r="E27" s="678"/>
      <c r="F27" s="678"/>
      <c r="G27" s="679"/>
      <c r="H27" s="679" t="s">
        <v>280</v>
      </c>
      <c r="I27" s="519"/>
    </row>
    <row r="28" spans="1:9" ht="15" customHeight="1">
      <c r="A28" s="519"/>
      <c r="B28" s="499"/>
      <c r="C28" s="677" t="s">
        <v>281</v>
      </c>
      <c r="D28" s="678"/>
      <c r="E28" s="678"/>
      <c r="F28" s="678"/>
      <c r="G28" s="679"/>
      <c r="H28" s="679" t="s">
        <v>282</v>
      </c>
      <c r="I28" s="519"/>
    </row>
    <row r="29" spans="1:9" ht="15" customHeight="1">
      <c r="A29" s="519"/>
      <c r="B29" s="499"/>
      <c r="C29" s="677" t="s">
        <v>283</v>
      </c>
      <c r="D29" s="678"/>
      <c r="E29" s="678"/>
      <c r="F29" s="678"/>
      <c r="G29" s="679"/>
      <c r="H29" s="679" t="s">
        <v>282</v>
      </c>
      <c r="I29" s="504" t="s">
        <v>275</v>
      </c>
    </row>
    <row r="30" spans="1:9" ht="15" customHeight="1">
      <c r="A30" s="519"/>
      <c r="B30" s="691"/>
      <c r="C30" s="692" t="s">
        <v>284</v>
      </c>
      <c r="D30" s="693"/>
      <c r="E30" s="693"/>
      <c r="F30" s="693"/>
      <c r="G30" s="694"/>
      <c r="H30" s="694" t="s">
        <v>278</v>
      </c>
      <c r="I30" s="519"/>
    </row>
    <row r="31" spans="1:9" ht="6" customHeight="1">
      <c r="A31" s="519"/>
      <c r="B31" s="496"/>
      <c r="C31" s="519"/>
      <c r="D31" s="519"/>
      <c r="E31" s="519"/>
      <c r="F31" s="519"/>
      <c r="G31" s="519"/>
      <c r="H31" s="519"/>
      <c r="I31" s="519"/>
    </row>
    <row r="32" spans="1:9">
      <c r="A32" s="518" t="s">
        <v>285</v>
      </c>
      <c r="B32" s="518" t="s">
        <v>286</v>
      </c>
      <c r="C32" s="519"/>
      <c r="D32" s="519"/>
      <c r="E32" s="519"/>
      <c r="F32" s="519"/>
      <c r="G32" s="519"/>
      <c r="H32" s="519"/>
      <c r="I32" s="519"/>
    </row>
    <row r="33" spans="1:10" ht="15" customHeight="1">
      <c r="A33" s="519"/>
      <c r="B33" s="891" t="s">
        <v>287</v>
      </c>
      <c r="C33" s="892"/>
      <c r="D33" s="892"/>
      <c r="E33" s="892"/>
      <c r="F33" s="892"/>
      <c r="G33" s="892"/>
      <c r="H33" s="892"/>
      <c r="I33" s="519"/>
    </row>
    <row r="34" spans="1:10" ht="15" customHeight="1">
      <c r="A34" s="519"/>
      <c r="B34" s="892"/>
      <c r="C34" s="892"/>
      <c r="D34" s="892"/>
      <c r="E34" s="892"/>
      <c r="F34" s="892"/>
      <c r="G34" s="892"/>
      <c r="H34" s="892"/>
      <c r="I34" s="519"/>
    </row>
    <row r="35" spans="1:10" ht="15" customHeight="1">
      <c r="A35" s="519"/>
      <c r="B35" s="797" t="s">
        <v>280</v>
      </c>
      <c r="C35" s="518" t="str">
        <f>met_pil</f>
        <v>Pengadaan Langsung</v>
      </c>
      <c r="D35" s="519"/>
      <c r="E35" s="519"/>
      <c r="F35" s="519"/>
      <c r="G35" s="519"/>
      <c r="H35" s="519"/>
      <c r="I35" s="519"/>
    </row>
    <row r="36" spans="1:10" ht="6" customHeight="1">
      <c r="A36" s="519"/>
      <c r="B36" s="519"/>
      <c r="C36" s="519"/>
      <c r="D36" s="519"/>
      <c r="E36" s="519"/>
      <c r="F36" s="519"/>
      <c r="G36" s="519"/>
      <c r="H36" s="519"/>
      <c r="I36" s="519"/>
    </row>
    <row r="37" spans="1:10" ht="15" customHeight="1">
      <c r="A37" s="518" t="s">
        <v>288</v>
      </c>
      <c r="B37" s="518" t="s">
        <v>289</v>
      </c>
      <c r="C37" s="519"/>
      <c r="D37" s="519"/>
      <c r="E37" s="519"/>
      <c r="F37" s="519"/>
      <c r="G37" s="519"/>
      <c r="H37" s="519"/>
      <c r="I37" s="519"/>
    </row>
    <row r="38" spans="1:10" ht="15" customHeight="1">
      <c r="A38" s="519"/>
      <c r="B38" s="891" t="s">
        <v>290</v>
      </c>
      <c r="C38" s="892"/>
      <c r="D38" s="892"/>
      <c r="E38" s="892"/>
      <c r="F38" s="892"/>
      <c r="G38" s="892"/>
      <c r="H38" s="892"/>
      <c r="I38" s="504" t="s">
        <v>291</v>
      </c>
    </row>
    <row r="39" spans="1:10" ht="15" customHeight="1">
      <c r="A39" s="519"/>
      <c r="B39" s="892"/>
      <c r="C39" s="892"/>
      <c r="D39" s="892"/>
      <c r="E39" s="892"/>
      <c r="F39" s="892"/>
      <c r="G39" s="892"/>
      <c r="H39" s="892"/>
      <c r="I39" s="504" t="s">
        <v>292</v>
      </c>
    </row>
    <row r="40" spans="1:10" ht="15" customHeight="1">
      <c r="A40" s="519"/>
      <c r="B40" s="892"/>
      <c r="C40" s="892"/>
      <c r="D40" s="892"/>
      <c r="E40" s="892"/>
      <c r="F40" s="892"/>
      <c r="G40" s="892"/>
      <c r="H40" s="892"/>
      <c r="I40" s="504"/>
    </row>
    <row r="41" spans="1:10" ht="6" customHeight="1">
      <c r="B41" s="519"/>
      <c r="C41" s="519"/>
      <c r="D41" s="519"/>
      <c r="E41" s="519"/>
      <c r="F41" s="519"/>
      <c r="G41" s="519"/>
      <c r="H41" s="519"/>
      <c r="I41" s="519"/>
    </row>
    <row r="42" spans="1:10" s="18" customFormat="1" ht="15" customHeight="1">
      <c r="A42" s="37" t="s">
        <v>293</v>
      </c>
      <c r="B42" s="37"/>
      <c r="C42" s="37"/>
      <c r="D42" s="37"/>
      <c r="E42" s="37"/>
      <c r="F42" s="37"/>
      <c r="G42" s="37"/>
      <c r="H42" s="37"/>
    </row>
    <row r="43" spans="1:10" s="18" customFormat="1" ht="6" customHeight="1">
      <c r="C43" s="43"/>
      <c r="D43" s="43"/>
      <c r="H43" s="54"/>
      <c r="I43" s="54"/>
      <c r="J43" s="53"/>
    </row>
    <row r="44" spans="1:10" s="18" customFormat="1" ht="15" customHeight="1">
      <c r="C44" s="43"/>
      <c r="D44" s="43"/>
      <c r="H44" s="54" t="str">
        <f>ppk_lok&amp;", "&amp;Input!H75</f>
        <v>Mataram, 6 Oktober 2025</v>
      </c>
      <c r="I44" s="54"/>
      <c r="J44" s="53"/>
    </row>
    <row r="45" spans="1:10" s="18" customFormat="1" ht="15" customHeight="1">
      <c r="B45" s="43"/>
      <c r="C45" s="43"/>
      <c r="H45" s="67" t="str">
        <f>ppk_jab</f>
        <v>Pejabat Pembuat Komitmen</v>
      </c>
      <c r="I45" s="67"/>
    </row>
    <row r="46" spans="1:10" s="18" customFormat="1" ht="15" customHeight="1">
      <c r="B46" s="43"/>
      <c r="C46" s="43"/>
      <c r="H46" s="54"/>
      <c r="I46" s="54"/>
    </row>
    <row r="47" spans="1:10" s="18" customFormat="1" ht="15" customHeight="1">
      <c r="B47" s="43"/>
      <c r="C47" s="43"/>
      <c r="H47" s="44"/>
      <c r="I47" s="44"/>
    </row>
    <row r="48" spans="1:10" s="18" customFormat="1" ht="15" customHeight="1">
      <c r="B48" s="43"/>
      <c r="C48" s="43"/>
      <c r="H48" s="44"/>
      <c r="I48" s="44"/>
    </row>
    <row r="49" spans="2:9" s="18" customFormat="1" ht="15" customHeight="1">
      <c r="B49" s="43"/>
      <c r="C49" s="43"/>
      <c r="H49" s="55" t="str">
        <f>ppk_nama</f>
        <v>Ika Kurnia Mustika, ST, MT</v>
      </c>
      <c r="I49" s="55"/>
    </row>
    <row r="50" spans="2:9" s="18" customFormat="1" ht="15" customHeight="1">
      <c r="B50" s="43"/>
      <c r="C50" s="43"/>
      <c r="H50" s="44" t="str">
        <f>"NIP. "&amp;ppk_nip</f>
        <v>NIP. 19791117 200901 1 006</v>
      </c>
      <c r="I50" s="44"/>
    </row>
    <row r="51" spans="2:9" s="18" customFormat="1" ht="15" customHeight="1">
      <c r="B51" s="43"/>
      <c r="C51" s="43"/>
      <c r="G51" s="44"/>
      <c r="H51" s="44"/>
      <c r="I51" s="53"/>
    </row>
  </sheetData>
  <mergeCells count="11">
    <mergeCell ref="H18:H19"/>
    <mergeCell ref="H20:H22"/>
    <mergeCell ref="A9:H11"/>
    <mergeCell ref="B33:H34"/>
    <mergeCell ref="B38:H40"/>
    <mergeCell ref="C18:G19"/>
    <mergeCell ref="D1:H1"/>
    <mergeCell ref="D2:H2"/>
    <mergeCell ref="D3:H3"/>
    <mergeCell ref="D7:H7"/>
    <mergeCell ref="C14:G14"/>
  </mergeCells>
  <dataValidations count="4">
    <dataValidation allowBlank="1" sqref="H15" xr:uid="{00000000-0002-0000-0200-000000000000}"/>
    <dataValidation type="list" allowBlank="1" sqref="H16" xr:uid="{00000000-0002-0000-0200-000001000000}">
      <formula1>"Lumsum, Harga Satuan, Gabungan Lumsum Dan Harga Satuan, Kontrak Payung, Waktu Penugasan"</formula1>
    </dataValidation>
    <dataValidation type="list" allowBlank="1" sqref="H26 H30" xr:uid="{00000000-0002-0000-0200-000002000000}">
      <formula1>"Diberikan, Tidak Diberikan"</formula1>
    </dataValidation>
    <dataValidation type="list" allowBlank="1" sqref="H28:H29" xr:uid="{00000000-0002-0000-0200-000003000000}">
      <formula1>"Diperlukan, Tidak diperlukan"</formula1>
    </dataValidation>
  </dataValidations>
  <hyperlinks>
    <hyperlink ref="J5" location="Input!A72" display="balik ke input" xr:uid="{00000000-0004-0000-0200-000000000000}"/>
  </hyperlinks>
  <pageMargins left="0.7" right="0.7" top="0.75" bottom="0.75" header="0.3" footer="0.3"/>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8849" r:id="rId4" name="Check Box 1025">
              <controlPr defaultSize="0" autoPict="0">
                <anchor moveWithCells="1">
                  <from>
                    <xdr:col>7</xdr:col>
                    <xdr:colOff>23813</xdr:colOff>
                    <xdr:row>22</xdr:row>
                    <xdr:rowOff>38100</xdr:rowOff>
                  </from>
                  <to>
                    <xdr:col>7</xdr:col>
                    <xdr:colOff>890588</xdr:colOff>
                    <xdr:row>22</xdr:row>
                    <xdr:rowOff>166688</xdr:rowOff>
                  </to>
                </anchor>
              </controlPr>
            </control>
          </mc:Choice>
        </mc:AlternateContent>
        <mc:AlternateContent xmlns:mc="http://schemas.openxmlformats.org/markup-compatibility/2006">
          <mc:Choice Requires="x14">
            <control shapeId="78863" r:id="rId5" name="Check Box 1039">
              <controlPr defaultSize="0" autoPict="0">
                <anchor moveWithCells="1">
                  <from>
                    <xdr:col>7</xdr:col>
                    <xdr:colOff>23813</xdr:colOff>
                    <xdr:row>24</xdr:row>
                    <xdr:rowOff>38100</xdr:rowOff>
                  </from>
                  <to>
                    <xdr:col>7</xdr:col>
                    <xdr:colOff>890588</xdr:colOff>
                    <xdr:row>24</xdr:row>
                    <xdr:rowOff>166688</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B0F0"/>
  </sheetPr>
  <dimension ref="A1:N49"/>
  <sheetViews>
    <sheetView view="pageBreakPreview" zoomScale="115" zoomScaleNormal="100" workbookViewId="0">
      <selection activeCell="D9" sqref="D9"/>
    </sheetView>
  </sheetViews>
  <sheetFormatPr defaultColWidth="9" defaultRowHeight="14.25"/>
  <cols>
    <col min="1" max="1" width="3.6640625" style="18" customWidth="1"/>
    <col min="2" max="2" width="8.19921875" style="18" customWidth="1"/>
    <col min="3" max="3" width="2" style="18" customWidth="1"/>
    <col min="4" max="4" width="20.86328125" style="18" customWidth="1"/>
    <col min="5" max="5" width="8.6640625" style="18" customWidth="1"/>
    <col min="6" max="6" width="9.33203125" style="18" customWidth="1"/>
    <col min="7" max="7" width="9.86328125" style="18" customWidth="1"/>
    <col min="8" max="9" width="13.6640625" style="18" customWidth="1"/>
    <col min="10" max="10" width="9" style="18" hidden="1" customWidth="1"/>
    <col min="11" max="256" width="9" style="18"/>
    <col min="257" max="257" width="9.86328125" style="18" customWidth="1"/>
    <col min="258" max="258" width="2" style="18" customWidth="1"/>
    <col min="259" max="259" width="12.53125" style="18" customWidth="1"/>
    <col min="260" max="260" width="1.86328125" style="18" customWidth="1"/>
    <col min="261" max="261" width="2" style="18" customWidth="1"/>
    <col min="262" max="262" width="16" style="18" customWidth="1"/>
    <col min="263" max="263" width="26" style="18" customWidth="1"/>
    <col min="264" max="264" width="9" style="18"/>
    <col min="265" max="265" width="9" style="18" customWidth="1"/>
    <col min="266" max="512" width="9" style="18"/>
    <col min="513" max="513" width="9.86328125" style="18" customWidth="1"/>
    <col min="514" max="514" width="2" style="18" customWidth="1"/>
    <col min="515" max="515" width="12.53125" style="18" customWidth="1"/>
    <col min="516" max="516" width="1.86328125" style="18" customWidth="1"/>
    <col min="517" max="517" width="2" style="18" customWidth="1"/>
    <col min="518" max="518" width="16" style="18" customWidth="1"/>
    <col min="519" max="519" width="26" style="18" customWidth="1"/>
    <col min="520" max="520" width="9" style="18"/>
    <col min="521" max="521" width="9" style="18" customWidth="1"/>
    <col min="522" max="768" width="9" style="18"/>
    <col min="769" max="769" width="9.86328125" style="18" customWidth="1"/>
    <col min="770" max="770" width="2" style="18" customWidth="1"/>
    <col min="771" max="771" width="12.53125" style="18" customWidth="1"/>
    <col min="772" max="772" width="1.86328125" style="18" customWidth="1"/>
    <col min="773" max="773" width="2" style="18" customWidth="1"/>
    <col min="774" max="774" width="16" style="18" customWidth="1"/>
    <col min="775" max="775" width="26" style="18" customWidth="1"/>
    <col min="776" max="776" width="9" style="18"/>
    <col min="777" max="777" width="9" style="18" customWidth="1"/>
    <col min="778" max="1024" width="9" style="18"/>
    <col min="1025" max="1025" width="9.86328125" style="18" customWidth="1"/>
    <col min="1026" max="1026" width="2" style="18" customWidth="1"/>
    <col min="1027" max="1027" width="12.53125" style="18" customWidth="1"/>
    <col min="1028" max="1028" width="1.86328125" style="18" customWidth="1"/>
    <col min="1029" max="1029" width="2" style="18" customWidth="1"/>
    <col min="1030" max="1030" width="16" style="18" customWidth="1"/>
    <col min="1031" max="1031" width="26" style="18" customWidth="1"/>
    <col min="1032" max="1032" width="9" style="18"/>
    <col min="1033" max="1033" width="9" style="18" customWidth="1"/>
    <col min="1034" max="1280" width="9" style="18"/>
    <col min="1281" max="1281" width="9.86328125" style="18" customWidth="1"/>
    <col min="1282" max="1282" width="2" style="18" customWidth="1"/>
    <col min="1283" max="1283" width="12.53125" style="18" customWidth="1"/>
    <col min="1284" max="1284" width="1.86328125" style="18" customWidth="1"/>
    <col min="1285" max="1285" width="2" style="18" customWidth="1"/>
    <col min="1286" max="1286" width="16" style="18" customWidth="1"/>
    <col min="1287" max="1287" width="26" style="18" customWidth="1"/>
    <col min="1288" max="1288" width="9" style="18"/>
    <col min="1289" max="1289" width="9" style="18" customWidth="1"/>
    <col min="1290" max="1536" width="9" style="18"/>
    <col min="1537" max="1537" width="9.86328125" style="18" customWidth="1"/>
    <col min="1538" max="1538" width="2" style="18" customWidth="1"/>
    <col min="1539" max="1539" width="12.53125" style="18" customWidth="1"/>
    <col min="1540" max="1540" width="1.86328125" style="18" customWidth="1"/>
    <col min="1541" max="1541" width="2" style="18" customWidth="1"/>
    <col min="1542" max="1542" width="16" style="18" customWidth="1"/>
    <col min="1543" max="1543" width="26" style="18" customWidth="1"/>
    <col min="1544" max="1544" width="9" style="18"/>
    <col min="1545" max="1545" width="9" style="18" customWidth="1"/>
    <col min="1546" max="1792" width="9" style="18"/>
    <col min="1793" max="1793" width="9.86328125" style="18" customWidth="1"/>
    <col min="1794" max="1794" width="2" style="18" customWidth="1"/>
    <col min="1795" max="1795" width="12.53125" style="18" customWidth="1"/>
    <col min="1796" max="1796" width="1.86328125" style="18" customWidth="1"/>
    <col min="1797" max="1797" width="2" style="18" customWidth="1"/>
    <col min="1798" max="1798" width="16" style="18" customWidth="1"/>
    <col min="1799" max="1799" width="26" style="18" customWidth="1"/>
    <col min="1800" max="1800" width="9" style="18"/>
    <col min="1801" max="1801" width="9" style="18" customWidth="1"/>
    <col min="1802" max="2048" width="9" style="18"/>
    <col min="2049" max="2049" width="9.86328125" style="18" customWidth="1"/>
    <col min="2050" max="2050" width="2" style="18" customWidth="1"/>
    <col min="2051" max="2051" width="12.53125" style="18" customWidth="1"/>
    <col min="2052" max="2052" width="1.86328125" style="18" customWidth="1"/>
    <col min="2053" max="2053" width="2" style="18" customWidth="1"/>
    <col min="2054" max="2054" width="16" style="18" customWidth="1"/>
    <col min="2055" max="2055" width="26" style="18" customWidth="1"/>
    <col min="2056" max="2056" width="9" style="18"/>
    <col min="2057" max="2057" width="9" style="18" customWidth="1"/>
    <col min="2058" max="2304" width="9" style="18"/>
    <col min="2305" max="2305" width="9.86328125" style="18" customWidth="1"/>
    <col min="2306" max="2306" width="2" style="18" customWidth="1"/>
    <col min="2307" max="2307" width="12.53125" style="18" customWidth="1"/>
    <col min="2308" max="2308" width="1.86328125" style="18" customWidth="1"/>
    <col min="2309" max="2309" width="2" style="18" customWidth="1"/>
    <col min="2310" max="2310" width="16" style="18" customWidth="1"/>
    <col min="2311" max="2311" width="26" style="18" customWidth="1"/>
    <col min="2312" max="2312" width="9" style="18"/>
    <col min="2313" max="2313" width="9" style="18" customWidth="1"/>
    <col min="2314" max="2560" width="9" style="18"/>
    <col min="2561" max="2561" width="9.86328125" style="18" customWidth="1"/>
    <col min="2562" max="2562" width="2" style="18" customWidth="1"/>
    <col min="2563" max="2563" width="12.53125" style="18" customWidth="1"/>
    <col min="2564" max="2564" width="1.86328125" style="18" customWidth="1"/>
    <col min="2565" max="2565" width="2" style="18" customWidth="1"/>
    <col min="2566" max="2566" width="16" style="18" customWidth="1"/>
    <col min="2567" max="2567" width="26" style="18" customWidth="1"/>
    <col min="2568" max="2568" width="9" style="18"/>
    <col min="2569" max="2569" width="9" style="18" customWidth="1"/>
    <col min="2570" max="2816" width="9" style="18"/>
    <col min="2817" max="2817" width="9.86328125" style="18" customWidth="1"/>
    <col min="2818" max="2818" width="2" style="18" customWidth="1"/>
    <col min="2819" max="2819" width="12.53125" style="18" customWidth="1"/>
    <col min="2820" max="2820" width="1.86328125" style="18" customWidth="1"/>
    <col min="2821" max="2821" width="2" style="18" customWidth="1"/>
    <col min="2822" max="2822" width="16" style="18" customWidth="1"/>
    <col min="2823" max="2823" width="26" style="18" customWidth="1"/>
    <col min="2824" max="2824" width="9" style="18"/>
    <col min="2825" max="2825" width="9" style="18" customWidth="1"/>
    <col min="2826" max="3072" width="9" style="18"/>
    <col min="3073" max="3073" width="9.86328125" style="18" customWidth="1"/>
    <col min="3074" max="3074" width="2" style="18" customWidth="1"/>
    <col min="3075" max="3075" width="12.53125" style="18" customWidth="1"/>
    <col min="3076" max="3076" width="1.86328125" style="18" customWidth="1"/>
    <col min="3077" max="3077" width="2" style="18" customWidth="1"/>
    <col min="3078" max="3078" width="16" style="18" customWidth="1"/>
    <col min="3079" max="3079" width="26" style="18" customWidth="1"/>
    <col min="3080" max="3080" width="9" style="18"/>
    <col min="3081" max="3081" width="9" style="18" customWidth="1"/>
    <col min="3082" max="3328" width="9" style="18"/>
    <col min="3329" max="3329" width="9.86328125" style="18" customWidth="1"/>
    <col min="3330" max="3330" width="2" style="18" customWidth="1"/>
    <col min="3331" max="3331" width="12.53125" style="18" customWidth="1"/>
    <col min="3332" max="3332" width="1.86328125" style="18" customWidth="1"/>
    <col min="3333" max="3333" width="2" style="18" customWidth="1"/>
    <col min="3334" max="3334" width="16" style="18" customWidth="1"/>
    <col min="3335" max="3335" width="26" style="18" customWidth="1"/>
    <col min="3336" max="3336" width="9" style="18"/>
    <col min="3337" max="3337" width="9" style="18" customWidth="1"/>
    <col min="3338" max="3584" width="9" style="18"/>
    <col min="3585" max="3585" width="9.86328125" style="18" customWidth="1"/>
    <col min="3586" max="3586" width="2" style="18" customWidth="1"/>
    <col min="3587" max="3587" width="12.53125" style="18" customWidth="1"/>
    <col min="3588" max="3588" width="1.86328125" style="18" customWidth="1"/>
    <col min="3589" max="3589" width="2" style="18" customWidth="1"/>
    <col min="3590" max="3590" width="16" style="18" customWidth="1"/>
    <col min="3591" max="3591" width="26" style="18" customWidth="1"/>
    <col min="3592" max="3592" width="9" style="18"/>
    <col min="3593" max="3593" width="9" style="18" customWidth="1"/>
    <col min="3594" max="3840" width="9" style="18"/>
    <col min="3841" max="3841" width="9.86328125" style="18" customWidth="1"/>
    <col min="3842" max="3842" width="2" style="18" customWidth="1"/>
    <col min="3843" max="3843" width="12.53125" style="18" customWidth="1"/>
    <col min="3844" max="3844" width="1.86328125" style="18" customWidth="1"/>
    <col min="3845" max="3845" width="2" style="18" customWidth="1"/>
    <col min="3846" max="3846" width="16" style="18" customWidth="1"/>
    <col min="3847" max="3847" width="26" style="18" customWidth="1"/>
    <col min="3848" max="3848" width="9" style="18"/>
    <col min="3849" max="3849" width="9" style="18" customWidth="1"/>
    <col min="3850" max="4096" width="9" style="18"/>
    <col min="4097" max="4097" width="9.86328125" style="18" customWidth="1"/>
    <col min="4098" max="4098" width="2" style="18" customWidth="1"/>
    <col min="4099" max="4099" width="12.53125" style="18" customWidth="1"/>
    <col min="4100" max="4100" width="1.86328125" style="18" customWidth="1"/>
    <col min="4101" max="4101" width="2" style="18" customWidth="1"/>
    <col min="4102" max="4102" width="16" style="18" customWidth="1"/>
    <col min="4103" max="4103" width="26" style="18" customWidth="1"/>
    <col min="4104" max="4104" width="9" style="18"/>
    <col min="4105" max="4105" width="9" style="18" customWidth="1"/>
    <col min="4106" max="4352" width="9" style="18"/>
    <col min="4353" max="4353" width="9.86328125" style="18" customWidth="1"/>
    <col min="4354" max="4354" width="2" style="18" customWidth="1"/>
    <col min="4355" max="4355" width="12.53125" style="18" customWidth="1"/>
    <col min="4356" max="4356" width="1.86328125" style="18" customWidth="1"/>
    <col min="4357" max="4357" width="2" style="18" customWidth="1"/>
    <col min="4358" max="4358" width="16" style="18" customWidth="1"/>
    <col min="4359" max="4359" width="26" style="18" customWidth="1"/>
    <col min="4360" max="4360" width="9" style="18"/>
    <col min="4361" max="4361" width="9" style="18" customWidth="1"/>
    <col min="4362" max="4608" width="9" style="18"/>
    <col min="4609" max="4609" width="9.86328125" style="18" customWidth="1"/>
    <col min="4610" max="4610" width="2" style="18" customWidth="1"/>
    <col min="4611" max="4611" width="12.53125" style="18" customWidth="1"/>
    <col min="4612" max="4612" width="1.86328125" style="18" customWidth="1"/>
    <col min="4613" max="4613" width="2" style="18" customWidth="1"/>
    <col min="4614" max="4614" width="16" style="18" customWidth="1"/>
    <col min="4615" max="4615" width="26" style="18" customWidth="1"/>
    <col min="4616" max="4616" width="9" style="18"/>
    <col min="4617" max="4617" width="9" style="18" customWidth="1"/>
    <col min="4618" max="4864" width="9" style="18"/>
    <col min="4865" max="4865" width="9.86328125" style="18" customWidth="1"/>
    <col min="4866" max="4866" width="2" style="18" customWidth="1"/>
    <col min="4867" max="4867" width="12.53125" style="18" customWidth="1"/>
    <col min="4868" max="4868" width="1.86328125" style="18" customWidth="1"/>
    <col min="4869" max="4869" width="2" style="18" customWidth="1"/>
    <col min="4870" max="4870" width="16" style="18" customWidth="1"/>
    <col min="4871" max="4871" width="26" style="18" customWidth="1"/>
    <col min="4872" max="4872" width="9" style="18"/>
    <col min="4873" max="4873" width="9" style="18" customWidth="1"/>
    <col min="4874" max="5120" width="9" style="18"/>
    <col min="5121" max="5121" width="9.86328125" style="18" customWidth="1"/>
    <col min="5122" max="5122" width="2" style="18" customWidth="1"/>
    <col min="5123" max="5123" width="12.53125" style="18" customWidth="1"/>
    <col min="5124" max="5124" width="1.86328125" style="18" customWidth="1"/>
    <col min="5125" max="5125" width="2" style="18" customWidth="1"/>
    <col min="5126" max="5126" width="16" style="18" customWidth="1"/>
    <col min="5127" max="5127" width="26" style="18" customWidth="1"/>
    <col min="5128" max="5128" width="9" style="18"/>
    <col min="5129" max="5129" width="9" style="18" customWidth="1"/>
    <col min="5130" max="5376" width="9" style="18"/>
    <col min="5377" max="5377" width="9.86328125" style="18" customWidth="1"/>
    <col min="5378" max="5378" width="2" style="18" customWidth="1"/>
    <col min="5379" max="5379" width="12.53125" style="18" customWidth="1"/>
    <col min="5380" max="5380" width="1.86328125" style="18" customWidth="1"/>
    <col min="5381" max="5381" width="2" style="18" customWidth="1"/>
    <col min="5382" max="5382" width="16" style="18" customWidth="1"/>
    <col min="5383" max="5383" width="26" style="18" customWidth="1"/>
    <col min="5384" max="5384" width="9" style="18"/>
    <col min="5385" max="5385" width="9" style="18" customWidth="1"/>
    <col min="5386" max="5632" width="9" style="18"/>
    <col min="5633" max="5633" width="9.86328125" style="18" customWidth="1"/>
    <col min="5634" max="5634" width="2" style="18" customWidth="1"/>
    <col min="5635" max="5635" width="12.53125" style="18" customWidth="1"/>
    <col min="5636" max="5636" width="1.86328125" style="18" customWidth="1"/>
    <col min="5637" max="5637" width="2" style="18" customWidth="1"/>
    <col min="5638" max="5638" width="16" style="18" customWidth="1"/>
    <col min="5639" max="5639" width="26" style="18" customWidth="1"/>
    <col min="5640" max="5640" width="9" style="18"/>
    <col min="5641" max="5641" width="9" style="18" customWidth="1"/>
    <col min="5642" max="5888" width="9" style="18"/>
    <col min="5889" max="5889" width="9.86328125" style="18" customWidth="1"/>
    <col min="5890" max="5890" width="2" style="18" customWidth="1"/>
    <col min="5891" max="5891" width="12.53125" style="18" customWidth="1"/>
    <col min="5892" max="5892" width="1.86328125" style="18" customWidth="1"/>
    <col min="5893" max="5893" width="2" style="18" customWidth="1"/>
    <col min="5894" max="5894" width="16" style="18" customWidth="1"/>
    <col min="5895" max="5895" width="26" style="18" customWidth="1"/>
    <col min="5896" max="5896" width="9" style="18"/>
    <col min="5897" max="5897" width="9" style="18" customWidth="1"/>
    <col min="5898" max="6144" width="9" style="18"/>
    <col min="6145" max="6145" width="9.86328125" style="18" customWidth="1"/>
    <col min="6146" max="6146" width="2" style="18" customWidth="1"/>
    <col min="6147" max="6147" width="12.53125" style="18" customWidth="1"/>
    <col min="6148" max="6148" width="1.86328125" style="18" customWidth="1"/>
    <col min="6149" max="6149" width="2" style="18" customWidth="1"/>
    <col min="6150" max="6150" width="16" style="18" customWidth="1"/>
    <col min="6151" max="6151" width="26" style="18" customWidth="1"/>
    <col min="6152" max="6152" width="9" style="18"/>
    <col min="6153" max="6153" width="9" style="18" customWidth="1"/>
    <col min="6154" max="6400" width="9" style="18"/>
    <col min="6401" max="6401" width="9.86328125" style="18" customWidth="1"/>
    <col min="6402" max="6402" width="2" style="18" customWidth="1"/>
    <col min="6403" max="6403" width="12.53125" style="18" customWidth="1"/>
    <col min="6404" max="6404" width="1.86328125" style="18" customWidth="1"/>
    <col min="6405" max="6405" width="2" style="18" customWidth="1"/>
    <col min="6406" max="6406" width="16" style="18" customWidth="1"/>
    <col min="6407" max="6407" width="26" style="18" customWidth="1"/>
    <col min="6408" max="6408" width="9" style="18"/>
    <col min="6409" max="6409" width="9" style="18" customWidth="1"/>
    <col min="6410" max="6656" width="9" style="18"/>
    <col min="6657" max="6657" width="9.86328125" style="18" customWidth="1"/>
    <col min="6658" max="6658" width="2" style="18" customWidth="1"/>
    <col min="6659" max="6659" width="12.53125" style="18" customWidth="1"/>
    <col min="6660" max="6660" width="1.86328125" style="18" customWidth="1"/>
    <col min="6661" max="6661" width="2" style="18" customWidth="1"/>
    <col min="6662" max="6662" width="16" style="18" customWidth="1"/>
    <col min="6663" max="6663" width="26" style="18" customWidth="1"/>
    <col min="6664" max="6664" width="9" style="18"/>
    <col min="6665" max="6665" width="9" style="18" customWidth="1"/>
    <col min="6666" max="6912" width="9" style="18"/>
    <col min="6913" max="6913" width="9.86328125" style="18" customWidth="1"/>
    <col min="6914" max="6914" width="2" style="18" customWidth="1"/>
    <col min="6915" max="6915" width="12.53125" style="18" customWidth="1"/>
    <col min="6916" max="6916" width="1.86328125" style="18" customWidth="1"/>
    <col min="6917" max="6917" width="2" style="18" customWidth="1"/>
    <col min="6918" max="6918" width="16" style="18" customWidth="1"/>
    <col min="6919" max="6919" width="26" style="18" customWidth="1"/>
    <col min="6920" max="6920" width="9" style="18"/>
    <col min="6921" max="6921" width="9" style="18" customWidth="1"/>
    <col min="6922" max="7168" width="9" style="18"/>
    <col min="7169" max="7169" width="9.86328125" style="18" customWidth="1"/>
    <col min="7170" max="7170" width="2" style="18" customWidth="1"/>
    <col min="7171" max="7171" width="12.53125" style="18" customWidth="1"/>
    <col min="7172" max="7172" width="1.86328125" style="18" customWidth="1"/>
    <col min="7173" max="7173" width="2" style="18" customWidth="1"/>
    <col min="7174" max="7174" width="16" style="18" customWidth="1"/>
    <col min="7175" max="7175" width="26" style="18" customWidth="1"/>
    <col min="7176" max="7176" width="9" style="18"/>
    <col min="7177" max="7177" width="9" style="18" customWidth="1"/>
    <col min="7178" max="7424" width="9" style="18"/>
    <col min="7425" max="7425" width="9.86328125" style="18" customWidth="1"/>
    <col min="7426" max="7426" width="2" style="18" customWidth="1"/>
    <col min="7427" max="7427" width="12.53125" style="18" customWidth="1"/>
    <col min="7428" max="7428" width="1.86328125" style="18" customWidth="1"/>
    <col min="7429" max="7429" width="2" style="18" customWidth="1"/>
    <col min="7430" max="7430" width="16" style="18" customWidth="1"/>
    <col min="7431" max="7431" width="26" style="18" customWidth="1"/>
    <col min="7432" max="7432" width="9" style="18"/>
    <col min="7433" max="7433" width="9" style="18" customWidth="1"/>
    <col min="7434" max="7680" width="9" style="18"/>
    <col min="7681" max="7681" width="9.86328125" style="18" customWidth="1"/>
    <col min="7682" max="7682" width="2" style="18" customWidth="1"/>
    <col min="7683" max="7683" width="12.53125" style="18" customWidth="1"/>
    <col min="7684" max="7684" width="1.86328125" style="18" customWidth="1"/>
    <col min="7685" max="7685" width="2" style="18" customWidth="1"/>
    <col min="7686" max="7686" width="16" style="18" customWidth="1"/>
    <col min="7687" max="7687" width="26" style="18" customWidth="1"/>
    <col min="7688" max="7688" width="9" style="18"/>
    <col min="7689" max="7689" width="9" style="18" customWidth="1"/>
    <col min="7690" max="7936" width="9" style="18"/>
    <col min="7937" max="7937" width="9.86328125" style="18" customWidth="1"/>
    <col min="7938" max="7938" width="2" style="18" customWidth="1"/>
    <col min="7939" max="7939" width="12.53125" style="18" customWidth="1"/>
    <col min="7940" max="7940" width="1.86328125" style="18" customWidth="1"/>
    <col min="7941" max="7941" width="2" style="18" customWidth="1"/>
    <col min="7942" max="7942" width="16" style="18" customWidth="1"/>
    <col min="7943" max="7943" width="26" style="18" customWidth="1"/>
    <col min="7944" max="7944" width="9" style="18"/>
    <col min="7945" max="7945" width="9" style="18" customWidth="1"/>
    <col min="7946" max="8192" width="9" style="18"/>
    <col min="8193" max="8193" width="9.86328125" style="18" customWidth="1"/>
    <col min="8194" max="8194" width="2" style="18" customWidth="1"/>
    <col min="8195" max="8195" width="12.53125" style="18" customWidth="1"/>
    <col min="8196" max="8196" width="1.86328125" style="18" customWidth="1"/>
    <col min="8197" max="8197" width="2" style="18" customWidth="1"/>
    <col min="8198" max="8198" width="16" style="18" customWidth="1"/>
    <col min="8199" max="8199" width="26" style="18" customWidth="1"/>
    <col min="8200" max="8200" width="9" style="18"/>
    <col min="8201" max="8201" width="9" style="18" customWidth="1"/>
    <col min="8202" max="8448" width="9" style="18"/>
    <col min="8449" max="8449" width="9.86328125" style="18" customWidth="1"/>
    <col min="8450" max="8450" width="2" style="18" customWidth="1"/>
    <col min="8451" max="8451" width="12.53125" style="18" customWidth="1"/>
    <col min="8452" max="8452" width="1.86328125" style="18" customWidth="1"/>
    <col min="8453" max="8453" width="2" style="18" customWidth="1"/>
    <col min="8454" max="8454" width="16" style="18" customWidth="1"/>
    <col min="8455" max="8455" width="26" style="18" customWidth="1"/>
    <col min="8456" max="8456" width="9" style="18"/>
    <col min="8457" max="8457" width="9" style="18" customWidth="1"/>
    <col min="8458" max="8704" width="9" style="18"/>
    <col min="8705" max="8705" width="9.86328125" style="18" customWidth="1"/>
    <col min="8706" max="8706" width="2" style="18" customWidth="1"/>
    <col min="8707" max="8707" width="12.53125" style="18" customWidth="1"/>
    <col min="8708" max="8708" width="1.86328125" style="18" customWidth="1"/>
    <col min="8709" max="8709" width="2" style="18" customWidth="1"/>
    <col min="8710" max="8710" width="16" style="18" customWidth="1"/>
    <col min="8711" max="8711" width="26" style="18" customWidth="1"/>
    <col min="8712" max="8712" width="9" style="18"/>
    <col min="8713" max="8713" width="9" style="18" customWidth="1"/>
    <col min="8714" max="8960" width="9" style="18"/>
    <col min="8961" max="8961" width="9.86328125" style="18" customWidth="1"/>
    <col min="8962" max="8962" width="2" style="18" customWidth="1"/>
    <col min="8963" max="8963" width="12.53125" style="18" customWidth="1"/>
    <col min="8964" max="8964" width="1.86328125" style="18" customWidth="1"/>
    <col min="8965" max="8965" width="2" style="18" customWidth="1"/>
    <col min="8966" max="8966" width="16" style="18" customWidth="1"/>
    <col min="8967" max="8967" width="26" style="18" customWidth="1"/>
    <col min="8968" max="8968" width="9" style="18"/>
    <col min="8969" max="8969" width="9" style="18" customWidth="1"/>
    <col min="8970" max="9216" width="9" style="18"/>
    <col min="9217" max="9217" width="9.86328125" style="18" customWidth="1"/>
    <col min="9218" max="9218" width="2" style="18" customWidth="1"/>
    <col min="9219" max="9219" width="12.53125" style="18" customWidth="1"/>
    <col min="9220" max="9220" width="1.86328125" style="18" customWidth="1"/>
    <col min="9221" max="9221" width="2" style="18" customWidth="1"/>
    <col min="9222" max="9222" width="16" style="18" customWidth="1"/>
    <col min="9223" max="9223" width="26" style="18" customWidth="1"/>
    <col min="9224" max="9224" width="9" style="18"/>
    <col min="9225" max="9225" width="9" style="18" customWidth="1"/>
    <col min="9226" max="9472" width="9" style="18"/>
    <col min="9473" max="9473" width="9.86328125" style="18" customWidth="1"/>
    <col min="9474" max="9474" width="2" style="18" customWidth="1"/>
    <col min="9475" max="9475" width="12.53125" style="18" customWidth="1"/>
    <col min="9476" max="9476" width="1.86328125" style="18" customWidth="1"/>
    <col min="9477" max="9477" width="2" style="18" customWidth="1"/>
    <col min="9478" max="9478" width="16" style="18" customWidth="1"/>
    <col min="9479" max="9479" width="26" style="18" customWidth="1"/>
    <col min="9480" max="9480" width="9" style="18"/>
    <col min="9481" max="9481" width="9" style="18" customWidth="1"/>
    <col min="9482" max="9728" width="9" style="18"/>
    <col min="9729" max="9729" width="9.86328125" style="18" customWidth="1"/>
    <col min="9730" max="9730" width="2" style="18" customWidth="1"/>
    <col min="9731" max="9731" width="12.53125" style="18" customWidth="1"/>
    <col min="9732" max="9732" width="1.86328125" style="18" customWidth="1"/>
    <col min="9733" max="9733" width="2" style="18" customWidth="1"/>
    <col min="9734" max="9734" width="16" style="18" customWidth="1"/>
    <col min="9735" max="9735" width="26" style="18" customWidth="1"/>
    <col min="9736" max="9736" width="9" style="18"/>
    <col min="9737" max="9737" width="9" style="18" customWidth="1"/>
    <col min="9738" max="9984" width="9" style="18"/>
    <col min="9985" max="9985" width="9.86328125" style="18" customWidth="1"/>
    <col min="9986" max="9986" width="2" style="18" customWidth="1"/>
    <col min="9987" max="9987" width="12.53125" style="18" customWidth="1"/>
    <col min="9988" max="9988" width="1.86328125" style="18" customWidth="1"/>
    <col min="9989" max="9989" width="2" style="18" customWidth="1"/>
    <col min="9990" max="9990" width="16" style="18" customWidth="1"/>
    <col min="9991" max="9991" width="26" style="18" customWidth="1"/>
    <col min="9992" max="9992" width="9" style="18"/>
    <col min="9993" max="9993" width="9" style="18" customWidth="1"/>
    <col min="9994" max="10240" width="9" style="18"/>
    <col min="10241" max="10241" width="9.86328125" style="18" customWidth="1"/>
    <col min="10242" max="10242" width="2" style="18" customWidth="1"/>
    <col min="10243" max="10243" width="12.53125" style="18" customWidth="1"/>
    <col min="10244" max="10244" width="1.86328125" style="18" customWidth="1"/>
    <col min="10245" max="10245" width="2" style="18" customWidth="1"/>
    <col min="10246" max="10246" width="16" style="18" customWidth="1"/>
    <col min="10247" max="10247" width="26" style="18" customWidth="1"/>
    <col min="10248" max="10248" width="9" style="18"/>
    <col min="10249" max="10249" width="9" style="18" customWidth="1"/>
    <col min="10250" max="10496" width="9" style="18"/>
    <col min="10497" max="10497" width="9.86328125" style="18" customWidth="1"/>
    <col min="10498" max="10498" width="2" style="18" customWidth="1"/>
    <col min="10499" max="10499" width="12.53125" style="18" customWidth="1"/>
    <col min="10500" max="10500" width="1.86328125" style="18" customWidth="1"/>
    <col min="10501" max="10501" width="2" style="18" customWidth="1"/>
    <col min="10502" max="10502" width="16" style="18" customWidth="1"/>
    <col min="10503" max="10503" width="26" style="18" customWidth="1"/>
    <col min="10504" max="10504" width="9" style="18"/>
    <col min="10505" max="10505" width="9" style="18" customWidth="1"/>
    <col min="10506" max="10752" width="9" style="18"/>
    <col min="10753" max="10753" width="9.86328125" style="18" customWidth="1"/>
    <col min="10754" max="10754" width="2" style="18" customWidth="1"/>
    <col min="10755" max="10755" width="12.53125" style="18" customWidth="1"/>
    <col min="10756" max="10756" width="1.86328125" style="18" customWidth="1"/>
    <col min="10757" max="10757" width="2" style="18" customWidth="1"/>
    <col min="10758" max="10758" width="16" style="18" customWidth="1"/>
    <col min="10759" max="10759" width="26" style="18" customWidth="1"/>
    <col min="10760" max="10760" width="9" style="18"/>
    <col min="10761" max="10761" width="9" style="18" customWidth="1"/>
    <col min="10762" max="11008" width="9" style="18"/>
    <col min="11009" max="11009" width="9.86328125" style="18" customWidth="1"/>
    <col min="11010" max="11010" width="2" style="18" customWidth="1"/>
    <col min="11011" max="11011" width="12.53125" style="18" customWidth="1"/>
    <col min="11012" max="11012" width="1.86328125" style="18" customWidth="1"/>
    <col min="11013" max="11013" width="2" style="18" customWidth="1"/>
    <col min="11014" max="11014" width="16" style="18" customWidth="1"/>
    <col min="11015" max="11015" width="26" style="18" customWidth="1"/>
    <col min="11016" max="11016" width="9" style="18"/>
    <col min="11017" max="11017" width="9" style="18" customWidth="1"/>
    <col min="11018" max="11264" width="9" style="18"/>
    <col min="11265" max="11265" width="9.86328125" style="18" customWidth="1"/>
    <col min="11266" max="11266" width="2" style="18" customWidth="1"/>
    <col min="11267" max="11267" width="12.53125" style="18" customWidth="1"/>
    <col min="11268" max="11268" width="1.86328125" style="18" customWidth="1"/>
    <col min="11269" max="11269" width="2" style="18" customWidth="1"/>
    <col min="11270" max="11270" width="16" style="18" customWidth="1"/>
    <col min="11271" max="11271" width="26" style="18" customWidth="1"/>
    <col min="11272" max="11272" width="9" style="18"/>
    <col min="11273" max="11273" width="9" style="18" customWidth="1"/>
    <col min="11274" max="11520" width="9" style="18"/>
    <col min="11521" max="11521" width="9.86328125" style="18" customWidth="1"/>
    <col min="11522" max="11522" width="2" style="18" customWidth="1"/>
    <col min="11523" max="11523" width="12.53125" style="18" customWidth="1"/>
    <col min="11524" max="11524" width="1.86328125" style="18" customWidth="1"/>
    <col min="11525" max="11525" width="2" style="18" customWidth="1"/>
    <col min="11526" max="11526" width="16" style="18" customWidth="1"/>
    <col min="11527" max="11527" width="26" style="18" customWidth="1"/>
    <col min="11528" max="11528" width="9" style="18"/>
    <col min="11529" max="11529" width="9" style="18" customWidth="1"/>
    <col min="11530" max="11776" width="9" style="18"/>
    <col min="11777" max="11777" width="9.86328125" style="18" customWidth="1"/>
    <col min="11778" max="11778" width="2" style="18" customWidth="1"/>
    <col min="11779" max="11779" width="12.53125" style="18" customWidth="1"/>
    <col min="11780" max="11780" width="1.86328125" style="18" customWidth="1"/>
    <col min="11781" max="11781" width="2" style="18" customWidth="1"/>
    <col min="11782" max="11782" width="16" style="18" customWidth="1"/>
    <col min="11783" max="11783" width="26" style="18" customWidth="1"/>
    <col min="11784" max="11784" width="9" style="18"/>
    <col min="11785" max="11785" width="9" style="18" customWidth="1"/>
    <col min="11786" max="12032" width="9" style="18"/>
    <col min="12033" max="12033" width="9.86328125" style="18" customWidth="1"/>
    <col min="12034" max="12034" width="2" style="18" customWidth="1"/>
    <col min="12035" max="12035" width="12.53125" style="18" customWidth="1"/>
    <col min="12036" max="12036" width="1.86328125" style="18" customWidth="1"/>
    <col min="12037" max="12037" width="2" style="18" customWidth="1"/>
    <col min="12038" max="12038" width="16" style="18" customWidth="1"/>
    <col min="12039" max="12039" width="26" style="18" customWidth="1"/>
    <col min="12040" max="12040" width="9" style="18"/>
    <col min="12041" max="12041" width="9" style="18" customWidth="1"/>
    <col min="12042" max="12288" width="9" style="18"/>
    <col min="12289" max="12289" width="9.86328125" style="18" customWidth="1"/>
    <col min="12290" max="12290" width="2" style="18" customWidth="1"/>
    <col min="12291" max="12291" width="12.53125" style="18" customWidth="1"/>
    <col min="12292" max="12292" width="1.86328125" style="18" customWidth="1"/>
    <col min="12293" max="12293" width="2" style="18" customWidth="1"/>
    <col min="12294" max="12294" width="16" style="18" customWidth="1"/>
    <col min="12295" max="12295" width="26" style="18" customWidth="1"/>
    <col min="12296" max="12296" width="9" style="18"/>
    <col min="12297" max="12297" width="9" style="18" customWidth="1"/>
    <col min="12298" max="12544" width="9" style="18"/>
    <col min="12545" max="12545" width="9.86328125" style="18" customWidth="1"/>
    <col min="12546" max="12546" width="2" style="18" customWidth="1"/>
    <col min="12547" max="12547" width="12.53125" style="18" customWidth="1"/>
    <col min="12548" max="12548" width="1.86328125" style="18" customWidth="1"/>
    <col min="12549" max="12549" width="2" style="18" customWidth="1"/>
    <col min="12550" max="12550" width="16" style="18" customWidth="1"/>
    <col min="12551" max="12551" width="26" style="18" customWidth="1"/>
    <col min="12552" max="12552" width="9" style="18"/>
    <col min="12553" max="12553" width="9" style="18" customWidth="1"/>
    <col min="12554" max="12800" width="9" style="18"/>
    <col min="12801" max="12801" width="9.86328125" style="18" customWidth="1"/>
    <col min="12802" max="12802" width="2" style="18" customWidth="1"/>
    <col min="12803" max="12803" width="12.53125" style="18" customWidth="1"/>
    <col min="12804" max="12804" width="1.86328125" style="18" customWidth="1"/>
    <col min="12805" max="12805" width="2" style="18" customWidth="1"/>
    <col min="12806" max="12806" width="16" style="18" customWidth="1"/>
    <col min="12807" max="12807" width="26" style="18" customWidth="1"/>
    <col min="12808" max="12808" width="9" style="18"/>
    <col min="12809" max="12809" width="9" style="18" customWidth="1"/>
    <col min="12810" max="13056" width="9" style="18"/>
    <col min="13057" max="13057" width="9.86328125" style="18" customWidth="1"/>
    <col min="13058" max="13058" width="2" style="18" customWidth="1"/>
    <col min="13059" max="13059" width="12.53125" style="18" customWidth="1"/>
    <col min="13060" max="13060" width="1.86328125" style="18" customWidth="1"/>
    <col min="13061" max="13061" width="2" style="18" customWidth="1"/>
    <col min="13062" max="13062" width="16" style="18" customWidth="1"/>
    <col min="13063" max="13063" width="26" style="18" customWidth="1"/>
    <col min="13064" max="13064" width="9" style="18"/>
    <col min="13065" max="13065" width="9" style="18" customWidth="1"/>
    <col min="13066" max="13312" width="9" style="18"/>
    <col min="13313" max="13313" width="9.86328125" style="18" customWidth="1"/>
    <col min="13314" max="13314" width="2" style="18" customWidth="1"/>
    <col min="13315" max="13315" width="12.53125" style="18" customWidth="1"/>
    <col min="13316" max="13316" width="1.86328125" style="18" customWidth="1"/>
    <col min="13317" max="13317" width="2" style="18" customWidth="1"/>
    <col min="13318" max="13318" width="16" style="18" customWidth="1"/>
    <col min="13319" max="13319" width="26" style="18" customWidth="1"/>
    <col min="13320" max="13320" width="9" style="18"/>
    <col min="13321" max="13321" width="9" style="18" customWidth="1"/>
    <col min="13322" max="13568" width="9" style="18"/>
    <col min="13569" max="13569" width="9.86328125" style="18" customWidth="1"/>
    <col min="13570" max="13570" width="2" style="18" customWidth="1"/>
    <col min="13571" max="13571" width="12.53125" style="18" customWidth="1"/>
    <col min="13572" max="13572" width="1.86328125" style="18" customWidth="1"/>
    <col min="13573" max="13573" width="2" style="18" customWidth="1"/>
    <col min="13574" max="13574" width="16" style="18" customWidth="1"/>
    <col min="13575" max="13575" width="26" style="18" customWidth="1"/>
    <col min="13576" max="13576" width="9" style="18"/>
    <col min="13577" max="13577" width="9" style="18" customWidth="1"/>
    <col min="13578" max="13824" width="9" style="18"/>
    <col min="13825" max="13825" width="9.86328125" style="18" customWidth="1"/>
    <col min="13826" max="13826" width="2" style="18" customWidth="1"/>
    <col min="13827" max="13827" width="12.53125" style="18" customWidth="1"/>
    <col min="13828" max="13828" width="1.86328125" style="18" customWidth="1"/>
    <col min="13829" max="13829" width="2" style="18" customWidth="1"/>
    <col min="13830" max="13830" width="16" style="18" customWidth="1"/>
    <col min="13831" max="13831" width="26" style="18" customWidth="1"/>
    <col min="13832" max="13832" width="9" style="18"/>
    <col min="13833" max="13833" width="9" style="18" customWidth="1"/>
    <col min="13834" max="14080" width="9" style="18"/>
    <col min="14081" max="14081" width="9.86328125" style="18" customWidth="1"/>
    <col min="14082" max="14082" width="2" style="18" customWidth="1"/>
    <col min="14083" max="14083" width="12.53125" style="18" customWidth="1"/>
    <col min="14084" max="14084" width="1.86328125" style="18" customWidth="1"/>
    <col min="14085" max="14085" width="2" style="18" customWidth="1"/>
    <col min="14086" max="14086" width="16" style="18" customWidth="1"/>
    <col min="14087" max="14087" width="26" style="18" customWidth="1"/>
    <col min="14088" max="14088" width="9" style="18"/>
    <col min="14089" max="14089" width="9" style="18" customWidth="1"/>
    <col min="14090" max="14336" width="9" style="18"/>
    <col min="14337" max="14337" width="9.86328125" style="18" customWidth="1"/>
    <col min="14338" max="14338" width="2" style="18" customWidth="1"/>
    <col min="14339" max="14339" width="12.53125" style="18" customWidth="1"/>
    <col min="14340" max="14340" width="1.86328125" style="18" customWidth="1"/>
    <col min="14341" max="14341" width="2" style="18" customWidth="1"/>
    <col min="14342" max="14342" width="16" style="18" customWidth="1"/>
    <col min="14343" max="14343" width="26" style="18" customWidth="1"/>
    <col min="14344" max="14344" width="9" style="18"/>
    <col min="14345" max="14345" width="9" style="18" customWidth="1"/>
    <col min="14346" max="14592" width="9" style="18"/>
    <col min="14593" max="14593" width="9.86328125" style="18" customWidth="1"/>
    <col min="14594" max="14594" width="2" style="18" customWidth="1"/>
    <col min="14595" max="14595" width="12.53125" style="18" customWidth="1"/>
    <col min="14596" max="14596" width="1.86328125" style="18" customWidth="1"/>
    <col min="14597" max="14597" width="2" style="18" customWidth="1"/>
    <col min="14598" max="14598" width="16" style="18" customWidth="1"/>
    <col min="14599" max="14599" width="26" style="18" customWidth="1"/>
    <col min="14600" max="14600" width="9" style="18"/>
    <col min="14601" max="14601" width="9" style="18" customWidth="1"/>
    <col min="14602" max="14848" width="9" style="18"/>
    <col min="14849" max="14849" width="9.86328125" style="18" customWidth="1"/>
    <col min="14850" max="14850" width="2" style="18" customWidth="1"/>
    <col min="14851" max="14851" width="12.53125" style="18" customWidth="1"/>
    <col min="14852" max="14852" width="1.86328125" style="18" customWidth="1"/>
    <col min="14853" max="14853" width="2" style="18" customWidth="1"/>
    <col min="14854" max="14854" width="16" style="18" customWidth="1"/>
    <col min="14855" max="14855" width="26" style="18" customWidth="1"/>
    <col min="14856" max="14856" width="9" style="18"/>
    <col min="14857" max="14857" width="9" style="18" customWidth="1"/>
    <col min="14858" max="15104" width="9" style="18"/>
    <col min="15105" max="15105" width="9.86328125" style="18" customWidth="1"/>
    <col min="15106" max="15106" width="2" style="18" customWidth="1"/>
    <col min="15107" max="15107" width="12.53125" style="18" customWidth="1"/>
    <col min="15108" max="15108" width="1.86328125" style="18" customWidth="1"/>
    <col min="15109" max="15109" width="2" style="18" customWidth="1"/>
    <col min="15110" max="15110" width="16" style="18" customWidth="1"/>
    <col min="15111" max="15111" width="26" style="18" customWidth="1"/>
    <col min="15112" max="15112" width="9" style="18"/>
    <col min="15113" max="15113" width="9" style="18" customWidth="1"/>
    <col min="15114" max="15360" width="9" style="18"/>
    <col min="15361" max="15361" width="9.86328125" style="18" customWidth="1"/>
    <col min="15362" max="15362" width="2" style="18" customWidth="1"/>
    <col min="15363" max="15363" width="12.53125" style="18" customWidth="1"/>
    <col min="15364" max="15364" width="1.86328125" style="18" customWidth="1"/>
    <col min="15365" max="15365" width="2" style="18" customWidth="1"/>
    <col min="15366" max="15366" width="16" style="18" customWidth="1"/>
    <col min="15367" max="15367" width="26" style="18" customWidth="1"/>
    <col min="15368" max="15368" width="9" style="18"/>
    <col min="15369" max="15369" width="9" style="18" customWidth="1"/>
    <col min="15370" max="15616" width="9" style="18"/>
    <col min="15617" max="15617" width="9.86328125" style="18" customWidth="1"/>
    <col min="15618" max="15618" width="2" style="18" customWidth="1"/>
    <col min="15619" max="15619" width="12.53125" style="18" customWidth="1"/>
    <col min="15620" max="15620" width="1.86328125" style="18" customWidth="1"/>
    <col min="15621" max="15621" width="2" style="18" customWidth="1"/>
    <col min="15622" max="15622" width="16" style="18" customWidth="1"/>
    <col min="15623" max="15623" width="26" style="18" customWidth="1"/>
    <col min="15624" max="15624" width="9" style="18"/>
    <col min="15625" max="15625" width="9" style="18" customWidth="1"/>
    <col min="15626" max="15872" width="9" style="18"/>
    <col min="15873" max="15873" width="9.86328125" style="18" customWidth="1"/>
    <col min="15874" max="15874" width="2" style="18" customWidth="1"/>
    <col min="15875" max="15875" width="12.53125" style="18" customWidth="1"/>
    <col min="15876" max="15876" width="1.86328125" style="18" customWidth="1"/>
    <col min="15877" max="15877" width="2" style="18" customWidth="1"/>
    <col min="15878" max="15878" width="16" style="18" customWidth="1"/>
    <col min="15879" max="15879" width="26" style="18" customWidth="1"/>
    <col min="15880" max="15880" width="9" style="18"/>
    <col min="15881" max="15881" width="9" style="18" customWidth="1"/>
    <col min="15882" max="16128" width="9" style="18"/>
    <col min="16129" max="16129" width="9.86328125" style="18" customWidth="1"/>
    <col min="16130" max="16130" width="2" style="18" customWidth="1"/>
    <col min="16131" max="16131" width="12.53125" style="18" customWidth="1"/>
    <col min="16132" max="16132" width="1.86328125" style="18" customWidth="1"/>
    <col min="16133" max="16133" width="2" style="18" customWidth="1"/>
    <col min="16134" max="16134" width="16" style="18" customWidth="1"/>
    <col min="16135" max="16135" width="26" style="18" customWidth="1"/>
    <col min="16136" max="16136" width="9" style="18"/>
    <col min="16137" max="16137" width="9" style="18" customWidth="1"/>
    <col min="16138" max="16384" width="9" style="18"/>
  </cols>
  <sheetData>
    <row r="1" spans="1:11" ht="17.25">
      <c r="D1" s="866" t="str">
        <f>opd_lok</f>
        <v>Provinsi Nusa Tenggara Barat</v>
      </c>
      <c r="E1" s="866"/>
      <c r="F1" s="866"/>
      <c r="G1" s="866"/>
      <c r="H1" s="866"/>
      <c r="I1" s="866"/>
    </row>
    <row r="2" spans="1:11" ht="47.1" customHeight="1">
      <c r="D2" s="867" t="str">
        <f>opd_nama</f>
        <v>Badan Pengelolaan Keuangan dan Aset Daerah</v>
      </c>
      <c r="E2" s="867"/>
      <c r="F2" s="867"/>
      <c r="G2" s="867"/>
      <c r="H2" s="867"/>
      <c r="I2" s="867"/>
    </row>
    <row r="3" spans="1:11" ht="17.850000000000001" customHeight="1">
      <c r="A3" s="24"/>
      <c r="B3" s="24"/>
      <c r="C3" s="24"/>
      <c r="D3" s="868" t="str">
        <f>opd_almt</f>
        <v>Jalan Pejanggik Nomor 14 Telp.( 0370 ) 627689, 625345 Fax: 627677</v>
      </c>
      <c r="E3" s="868"/>
      <c r="F3" s="868"/>
      <c r="G3" s="868"/>
      <c r="H3" s="868"/>
      <c r="I3" s="868"/>
    </row>
    <row r="4" spans="1:11" ht="5.25" customHeight="1"/>
    <row r="5" spans="1:11" ht="18">
      <c r="A5" s="899" t="str">
        <f>IF(Input!D3="Jasa Konsultansi","KERANGKA ACUAN KERJA","SPESIFIKASI TEKNIS")</f>
        <v>SPESIFIKASI TEKNIS</v>
      </c>
      <c r="B5" s="899"/>
      <c r="C5" s="899"/>
      <c r="D5" s="899"/>
      <c r="E5" s="899"/>
      <c r="F5" s="899"/>
      <c r="G5" s="899"/>
      <c r="H5" s="899"/>
      <c r="I5" s="899"/>
      <c r="K5" s="71" t="s">
        <v>253</v>
      </c>
    </row>
    <row r="6" spans="1:11" ht="15" customHeight="1">
      <c r="A6" s="182"/>
      <c r="B6" s="182"/>
      <c r="C6" s="182"/>
      <c r="D6" s="182"/>
      <c r="E6" s="182"/>
      <c r="F6" s="182"/>
      <c r="G6" s="182"/>
      <c r="H6" s="182"/>
      <c r="I6" s="182"/>
    </row>
    <row r="7" spans="1:11" ht="15" customHeight="1">
      <c r="A7" s="60" t="s">
        <v>294</v>
      </c>
      <c r="B7" s="60"/>
      <c r="C7" s="60" t="s">
        <v>2</v>
      </c>
      <c r="D7" s="60" t="str">
        <f>opd_nama</f>
        <v>Badan Pengelolaan Keuangan dan Aset Daerah</v>
      </c>
      <c r="E7" s="60"/>
      <c r="F7" s="60"/>
      <c r="G7" s="60"/>
      <c r="H7" s="60"/>
      <c r="I7" s="60"/>
    </row>
    <row r="8" spans="1:11" ht="15" customHeight="1">
      <c r="A8" s="37" t="s">
        <v>57</v>
      </c>
      <c r="B8" s="37"/>
      <c r="C8" s="37" t="s">
        <v>2</v>
      </c>
      <c r="D8" s="796" t="str">
        <f>ppk_jab</f>
        <v>Pejabat Pembuat Komitmen</v>
      </c>
      <c r="E8" s="37"/>
      <c r="F8" s="37"/>
      <c r="G8" s="37"/>
      <c r="H8" s="37"/>
      <c r="I8" s="37"/>
    </row>
    <row r="9" spans="1:11" ht="15" customHeight="1">
      <c r="A9" s="37" t="s">
        <v>295</v>
      </c>
      <c r="C9" s="18" t="s">
        <v>2</v>
      </c>
      <c r="D9" s="37" t="str">
        <f>paket</f>
        <v>Belanja Pemeliharaan Bangunan Gedung-Bangunan Gedung Tempat Kerja-Bangunan Gedung Kantor-Pemeliharaan Gedung Bertingkat</v>
      </c>
    </row>
    <row r="10" spans="1:11" ht="15" customHeight="1">
      <c r="A10" s="37" t="s">
        <v>14</v>
      </c>
      <c r="B10" s="64"/>
      <c r="C10" s="64" t="s">
        <v>2</v>
      </c>
      <c r="D10" s="64" t="str">
        <f>lokasi</f>
        <v>Mataram</v>
      </c>
      <c r="E10" s="64"/>
      <c r="F10" s="64"/>
      <c r="G10" s="64"/>
      <c r="H10" s="64"/>
      <c r="I10" s="64"/>
    </row>
    <row r="11" spans="1:11" ht="15" customHeight="1">
      <c r="A11" s="37" t="s">
        <v>296</v>
      </c>
      <c r="B11" s="64"/>
      <c r="C11" s="64" t="s">
        <v>2</v>
      </c>
      <c r="D11" s="612" t="str">
        <f>tahun</f>
        <v>2025</v>
      </c>
      <c r="E11" s="64"/>
      <c r="F11" s="64"/>
      <c r="G11" s="64"/>
      <c r="H11" s="64"/>
      <c r="I11" s="64"/>
    </row>
    <row r="12" spans="1:11" ht="15" customHeight="1">
      <c r="A12" s="37" t="s">
        <v>297</v>
      </c>
      <c r="B12" s="64"/>
      <c r="C12" s="64"/>
      <c r="D12" s="64"/>
      <c r="E12" s="64"/>
      <c r="F12" s="64"/>
      <c r="G12" s="64"/>
      <c r="H12" s="64"/>
      <c r="I12" s="64"/>
    </row>
    <row r="13" spans="1:11" ht="15" hidden="1" customHeight="1">
      <c r="A13" s="64"/>
      <c r="B13" s="64"/>
      <c r="C13" s="64"/>
      <c r="D13" s="64"/>
      <c r="E13" s="64"/>
      <c r="F13" s="64"/>
      <c r="G13" s="64"/>
      <c r="H13" s="64"/>
      <c r="I13" s="64"/>
    </row>
    <row r="14" spans="1:11" s="56" customFormat="1" ht="30.6" customHeight="1">
      <c r="A14" s="613" t="s">
        <v>258</v>
      </c>
      <c r="B14" s="900" t="s">
        <v>298</v>
      </c>
      <c r="C14" s="901"/>
      <c r="D14" s="901"/>
      <c r="E14" s="902"/>
      <c r="F14" s="900" t="s">
        <v>299</v>
      </c>
      <c r="G14" s="901"/>
      <c r="H14" s="901"/>
      <c r="I14" s="902"/>
      <c r="J14" s="37"/>
    </row>
    <row r="15" spans="1:11" s="56" customFormat="1" ht="30.75" customHeight="1">
      <c r="A15" s="654">
        <v>1</v>
      </c>
      <c r="B15" s="903" t="s">
        <v>300</v>
      </c>
      <c r="C15" s="904"/>
      <c r="D15" s="904"/>
      <c r="E15" s="905"/>
      <c r="F15" s="906" t="s">
        <v>301</v>
      </c>
      <c r="G15" s="907"/>
      <c r="H15" s="907"/>
      <c r="I15" s="908"/>
      <c r="J15" s="37"/>
      <c r="K15" s="56" t="s">
        <v>302</v>
      </c>
    </row>
    <row r="16" spans="1:11" s="56" customFormat="1" ht="33" customHeight="1">
      <c r="A16" s="654">
        <v>2</v>
      </c>
      <c r="B16" s="903" t="s">
        <v>303</v>
      </c>
      <c r="C16" s="904"/>
      <c r="D16" s="904"/>
      <c r="E16" s="905"/>
      <c r="F16" s="906" t="s">
        <v>304</v>
      </c>
      <c r="G16" s="907"/>
      <c r="H16" s="907"/>
      <c r="I16" s="908"/>
      <c r="J16" s="37"/>
      <c r="K16" s="56" t="s">
        <v>305</v>
      </c>
    </row>
    <row r="17" spans="1:14" s="56" customFormat="1" ht="31.5" customHeight="1">
      <c r="A17" s="654">
        <f t="shared" ref="A17:A34" si="0">IF(AND(A16&lt;&gt;0,B17&lt;&gt;0),A16+1,"")</f>
        <v>3</v>
      </c>
      <c r="B17" s="903" t="s">
        <v>306</v>
      </c>
      <c r="C17" s="904"/>
      <c r="D17" s="904"/>
      <c r="E17" s="905"/>
      <c r="F17" s="906" t="s">
        <v>307</v>
      </c>
      <c r="G17" s="909"/>
      <c r="H17" s="909"/>
      <c r="I17" s="910"/>
      <c r="J17" s="37"/>
      <c r="K17" s="911" t="s">
        <v>308</v>
      </c>
      <c r="L17" s="912"/>
      <c r="M17" s="912"/>
      <c r="N17" s="913"/>
    </row>
    <row r="18" spans="1:14" s="56" customFormat="1" ht="46.05" customHeight="1">
      <c r="A18" s="654">
        <f t="shared" si="0"/>
        <v>4</v>
      </c>
      <c r="B18" s="903" t="s">
        <v>309</v>
      </c>
      <c r="C18" s="904"/>
      <c r="D18" s="904"/>
      <c r="E18" s="905"/>
      <c r="F18" s="906" t="s">
        <v>310</v>
      </c>
      <c r="G18" s="909"/>
      <c r="H18" s="909"/>
      <c r="I18" s="910"/>
      <c r="J18" s="37"/>
      <c r="K18" s="911" t="s">
        <v>311</v>
      </c>
      <c r="L18" s="912"/>
      <c r="M18" s="912"/>
      <c r="N18" s="913"/>
    </row>
    <row r="19" spans="1:14" s="56" customFormat="1">
      <c r="A19" s="654">
        <f t="shared" si="0"/>
        <v>5</v>
      </c>
      <c r="B19" s="903" t="s">
        <v>312</v>
      </c>
      <c r="C19" s="904"/>
      <c r="D19" s="904"/>
      <c r="E19" s="905"/>
      <c r="F19" s="906" t="s">
        <v>313</v>
      </c>
      <c r="G19" s="909"/>
      <c r="H19" s="909"/>
      <c r="I19" s="910"/>
      <c r="J19" s="37"/>
      <c r="K19" s="911" t="s">
        <v>314</v>
      </c>
      <c r="L19" s="912"/>
      <c r="M19" s="912"/>
      <c r="N19" s="913"/>
    </row>
    <row r="20" spans="1:14" s="56" customFormat="1">
      <c r="A20" s="654">
        <f t="shared" si="0"/>
        <v>6</v>
      </c>
      <c r="B20" s="903" t="s">
        <v>315</v>
      </c>
      <c r="C20" s="904"/>
      <c r="D20" s="904"/>
      <c r="E20" s="905"/>
      <c r="F20" s="906" t="s">
        <v>316</v>
      </c>
      <c r="G20" s="909"/>
      <c r="H20" s="909"/>
      <c r="I20" s="910"/>
      <c r="J20" s="37"/>
      <c r="K20" s="911" t="s">
        <v>317</v>
      </c>
      <c r="L20" s="912"/>
      <c r="M20" s="912"/>
      <c r="N20" s="913"/>
    </row>
    <row r="21" spans="1:14" s="56" customFormat="1" ht="49.05" customHeight="1">
      <c r="A21" s="654">
        <f t="shared" si="0"/>
        <v>7</v>
      </c>
      <c r="B21" s="903" t="s">
        <v>318</v>
      </c>
      <c r="C21" s="904"/>
      <c r="D21" s="904"/>
      <c r="E21" s="905"/>
      <c r="F21" s="906" t="s">
        <v>319</v>
      </c>
      <c r="G21" s="909"/>
      <c r="H21" s="909"/>
      <c r="I21" s="910"/>
      <c r="J21" s="37"/>
      <c r="K21" s="911" t="s">
        <v>320</v>
      </c>
      <c r="L21" s="912"/>
      <c r="M21" s="912"/>
      <c r="N21" s="913"/>
    </row>
    <row r="22" spans="1:14" s="56" customFormat="1">
      <c r="A22" s="654">
        <f t="shared" si="0"/>
        <v>8</v>
      </c>
      <c r="B22" s="903" t="s">
        <v>321</v>
      </c>
      <c r="C22" s="904"/>
      <c r="D22" s="904"/>
      <c r="E22" s="905"/>
      <c r="F22" s="906" t="s">
        <v>322</v>
      </c>
      <c r="G22" s="909"/>
      <c r="H22" s="909"/>
      <c r="I22" s="910"/>
      <c r="J22" s="37"/>
      <c r="K22" s="914"/>
      <c r="L22" s="915"/>
      <c r="M22" s="915"/>
      <c r="N22" s="916"/>
    </row>
    <row r="23" spans="1:14" s="56" customFormat="1" ht="46.5" customHeight="1">
      <c r="A23" s="654">
        <f t="shared" si="0"/>
        <v>9</v>
      </c>
      <c r="B23" s="903" t="s">
        <v>323</v>
      </c>
      <c r="C23" s="904"/>
      <c r="D23" s="904"/>
      <c r="E23" s="905"/>
      <c r="F23" s="906" t="s">
        <v>324</v>
      </c>
      <c r="G23" s="907"/>
      <c r="H23" s="907"/>
      <c r="I23" s="908"/>
      <c r="J23" s="37"/>
    </row>
    <row r="24" spans="1:14" s="56" customFormat="1" ht="64.05" customHeight="1">
      <c r="A24" s="654">
        <f t="shared" si="0"/>
        <v>10</v>
      </c>
      <c r="B24" s="903" t="s">
        <v>325</v>
      </c>
      <c r="C24" s="904"/>
      <c r="D24" s="904"/>
      <c r="E24" s="905"/>
      <c r="F24" s="906" t="s">
        <v>326</v>
      </c>
      <c r="G24" s="907"/>
      <c r="H24" s="907"/>
      <c r="I24" s="908"/>
      <c r="J24" s="37"/>
      <c r="K24" s="56" t="s">
        <v>327</v>
      </c>
    </row>
    <row r="25" spans="1:14" s="56" customFormat="1" ht="32.1" customHeight="1">
      <c r="A25" s="654">
        <f t="shared" si="0"/>
        <v>11</v>
      </c>
      <c r="B25" s="903" t="s">
        <v>328</v>
      </c>
      <c r="C25" s="904"/>
      <c r="D25" s="904"/>
      <c r="E25" s="905"/>
      <c r="F25" s="906" t="s">
        <v>329</v>
      </c>
      <c r="G25" s="907"/>
      <c r="H25" s="907"/>
      <c r="I25" s="908"/>
      <c r="J25" s="37"/>
      <c r="K25" s="56" t="s">
        <v>330</v>
      </c>
    </row>
    <row r="26" spans="1:14" s="56" customFormat="1" ht="15" hidden="1" customHeight="1">
      <c r="A26" s="654" t="str">
        <f t="shared" si="0"/>
        <v/>
      </c>
      <c r="B26" s="903"/>
      <c r="C26" s="904"/>
      <c r="D26" s="904"/>
      <c r="E26" s="905"/>
      <c r="F26" s="917"/>
      <c r="G26" s="907"/>
      <c r="H26" s="907"/>
      <c r="I26" s="908"/>
      <c r="J26" s="37"/>
    </row>
    <row r="27" spans="1:14" s="56" customFormat="1" ht="15" hidden="1" customHeight="1">
      <c r="A27" s="654" t="str">
        <f t="shared" si="0"/>
        <v/>
      </c>
      <c r="B27" s="903"/>
      <c r="C27" s="904"/>
      <c r="D27" s="904"/>
      <c r="E27" s="905"/>
      <c r="F27" s="917"/>
      <c r="G27" s="907"/>
      <c r="H27" s="907"/>
      <c r="I27" s="908"/>
      <c r="J27" s="37"/>
    </row>
    <row r="28" spans="1:14" s="56" customFormat="1" ht="15" hidden="1" customHeight="1">
      <c r="A28" s="654" t="str">
        <f t="shared" si="0"/>
        <v/>
      </c>
      <c r="B28" s="903"/>
      <c r="C28" s="904"/>
      <c r="D28" s="904"/>
      <c r="E28" s="905"/>
      <c r="F28" s="917"/>
      <c r="G28" s="907"/>
      <c r="H28" s="907"/>
      <c r="I28" s="908"/>
      <c r="J28" s="37"/>
    </row>
    <row r="29" spans="1:14" s="56" customFormat="1" ht="15" hidden="1" customHeight="1">
      <c r="A29" s="654" t="str">
        <f t="shared" si="0"/>
        <v/>
      </c>
      <c r="B29" s="903"/>
      <c r="C29" s="904"/>
      <c r="D29" s="904"/>
      <c r="E29" s="905"/>
      <c r="F29" s="917"/>
      <c r="G29" s="907"/>
      <c r="H29" s="907"/>
      <c r="I29" s="908"/>
      <c r="J29" s="37"/>
    </row>
    <row r="30" spans="1:14" s="56" customFormat="1" ht="15" hidden="1" customHeight="1">
      <c r="A30" s="654" t="str">
        <f t="shared" si="0"/>
        <v/>
      </c>
      <c r="B30" s="903"/>
      <c r="C30" s="904"/>
      <c r="D30" s="904"/>
      <c r="E30" s="905"/>
      <c r="F30" s="917"/>
      <c r="G30" s="907"/>
      <c r="H30" s="907"/>
      <c r="I30" s="908"/>
      <c r="J30" s="37"/>
    </row>
    <row r="31" spans="1:14" s="56" customFormat="1" ht="15" hidden="1" customHeight="1">
      <c r="A31" s="654" t="str">
        <f t="shared" si="0"/>
        <v/>
      </c>
      <c r="B31" s="903"/>
      <c r="C31" s="904"/>
      <c r="D31" s="904"/>
      <c r="E31" s="905"/>
      <c r="F31" s="917"/>
      <c r="G31" s="907"/>
      <c r="H31" s="907"/>
      <c r="I31" s="908"/>
      <c r="J31" s="37"/>
    </row>
    <row r="32" spans="1:14" s="56" customFormat="1" ht="15" hidden="1" customHeight="1">
      <c r="A32" s="654" t="str">
        <f t="shared" si="0"/>
        <v/>
      </c>
      <c r="B32" s="903"/>
      <c r="C32" s="904"/>
      <c r="D32" s="904"/>
      <c r="E32" s="905"/>
      <c r="F32" s="917"/>
      <c r="G32" s="907"/>
      <c r="H32" s="907"/>
      <c r="I32" s="908"/>
      <c r="J32" s="37"/>
    </row>
    <row r="33" spans="1:10" s="56" customFormat="1" ht="15" hidden="1" customHeight="1">
      <c r="A33" s="654" t="str">
        <f t="shared" si="0"/>
        <v/>
      </c>
      <c r="B33" s="903"/>
      <c r="C33" s="904"/>
      <c r="D33" s="904"/>
      <c r="E33" s="905"/>
      <c r="F33" s="917"/>
      <c r="G33" s="907"/>
      <c r="H33" s="907"/>
      <c r="I33" s="908"/>
      <c r="J33" s="37"/>
    </row>
    <row r="34" spans="1:10" s="56" customFormat="1" ht="15" hidden="1" customHeight="1">
      <c r="A34" s="654" t="str">
        <f t="shared" si="0"/>
        <v/>
      </c>
      <c r="B34" s="903"/>
      <c r="C34" s="904"/>
      <c r="D34" s="904"/>
      <c r="E34" s="905"/>
      <c r="F34" s="917"/>
      <c r="G34" s="907"/>
      <c r="H34" s="907"/>
      <c r="I34" s="908"/>
      <c r="J34" s="37"/>
    </row>
    <row r="35" spans="1:10" s="56" customFormat="1" ht="15" customHeight="1">
      <c r="C35" s="202"/>
      <c r="D35" s="202"/>
      <c r="G35" s="44"/>
      <c r="H35" s="44"/>
      <c r="I35" s="44"/>
    </row>
    <row r="36" spans="1:10" ht="15" customHeight="1">
      <c r="C36" s="43"/>
      <c r="D36" s="43"/>
      <c r="G36" s="54" t="str">
        <f>ppk_lok&amp;", "&amp;Input!H76</f>
        <v>Mataram, 6 Oktober 2025</v>
      </c>
      <c r="H36" s="53"/>
      <c r="I36" s="53"/>
    </row>
    <row r="37" spans="1:10" ht="15" customHeight="1">
      <c r="C37" s="43"/>
      <c r="D37" s="43"/>
      <c r="G37" s="67" t="str">
        <f>ppk_jab</f>
        <v>Pejabat Pembuat Komitmen</v>
      </c>
      <c r="H37" s="53"/>
      <c r="I37" s="53"/>
    </row>
    <row r="38" spans="1:10" ht="15" customHeight="1">
      <c r="C38" s="43"/>
      <c r="D38" s="43"/>
      <c r="G38" s="54"/>
      <c r="H38" s="53"/>
      <c r="I38" s="53"/>
    </row>
    <row r="39" spans="1:10" ht="15" customHeight="1">
      <c r="C39" s="43"/>
      <c r="D39" s="43"/>
      <c r="G39" s="54"/>
      <c r="H39" s="53"/>
      <c r="I39" s="53"/>
    </row>
    <row r="40" spans="1:10" ht="15" customHeight="1">
      <c r="C40" s="43"/>
      <c r="D40" s="43"/>
      <c r="G40" s="44"/>
      <c r="H40" s="53"/>
      <c r="I40" s="53"/>
    </row>
    <row r="41" spans="1:10" ht="15" customHeight="1">
      <c r="C41" s="43"/>
      <c r="D41" s="43"/>
      <c r="G41" s="44"/>
      <c r="H41" s="53"/>
      <c r="I41" s="53"/>
    </row>
    <row r="42" spans="1:10" ht="15" customHeight="1">
      <c r="C42" s="43"/>
      <c r="D42" s="43"/>
      <c r="G42" s="55" t="str">
        <f>ppk_nama</f>
        <v>Ika Kurnia Mustika, ST, MT</v>
      </c>
      <c r="H42" s="53"/>
      <c r="I42" s="53"/>
    </row>
    <row r="43" spans="1:10" ht="15" customHeight="1">
      <c r="C43" s="43"/>
      <c r="D43" s="43"/>
      <c r="G43" s="44" t="str">
        <f>"NIP. "&amp;ppk_nip</f>
        <v>NIP. 19791117 200901 1 006</v>
      </c>
      <c r="H43" s="53"/>
      <c r="I43" s="53"/>
    </row>
    <row r="44" spans="1:10" ht="15" customHeight="1">
      <c r="C44" s="43"/>
      <c r="D44" s="43"/>
      <c r="G44" s="44"/>
      <c r="H44" s="53"/>
      <c r="I44" s="53"/>
    </row>
    <row r="45" spans="1:10" ht="15" customHeight="1">
      <c r="C45" s="43"/>
      <c r="D45" s="43"/>
      <c r="G45" s="44"/>
      <c r="H45" s="53"/>
      <c r="I45" s="53"/>
    </row>
    <row r="46" spans="1:10" ht="15" customHeight="1">
      <c r="C46" s="43"/>
      <c r="D46" s="43"/>
      <c r="G46" s="44"/>
      <c r="H46" s="53"/>
      <c r="I46" s="53"/>
    </row>
    <row r="47" spans="1:10" ht="15" customHeight="1">
      <c r="C47" s="43"/>
      <c r="D47" s="43"/>
      <c r="G47" s="44"/>
      <c r="H47" s="53"/>
      <c r="I47" s="53"/>
    </row>
    <row r="49" ht="60" customHeight="1"/>
  </sheetData>
  <mergeCells count="52">
    <mergeCell ref="B33:E33"/>
    <mergeCell ref="F33:I33"/>
    <mergeCell ref="B34:E34"/>
    <mergeCell ref="F34:I34"/>
    <mergeCell ref="B30:E30"/>
    <mergeCell ref="F30:I30"/>
    <mergeCell ref="B31:E31"/>
    <mergeCell ref="F31:I31"/>
    <mergeCell ref="B32:E32"/>
    <mergeCell ref="F32:I32"/>
    <mergeCell ref="B27:E27"/>
    <mergeCell ref="F27:I27"/>
    <mergeCell ref="B28:E28"/>
    <mergeCell ref="F28:I28"/>
    <mergeCell ref="B29:E29"/>
    <mergeCell ref="F29:I29"/>
    <mergeCell ref="B24:E24"/>
    <mergeCell ref="F24:I24"/>
    <mergeCell ref="B25:E25"/>
    <mergeCell ref="F25:I25"/>
    <mergeCell ref="B26:E26"/>
    <mergeCell ref="F26:I26"/>
    <mergeCell ref="B22:E22"/>
    <mergeCell ref="F22:I22"/>
    <mergeCell ref="K22:N22"/>
    <mergeCell ref="B23:E23"/>
    <mergeCell ref="F23:I23"/>
    <mergeCell ref="B20:E20"/>
    <mergeCell ref="F20:I20"/>
    <mergeCell ref="K20:N20"/>
    <mergeCell ref="B21:E21"/>
    <mergeCell ref="F21:I21"/>
    <mergeCell ref="K21:N21"/>
    <mergeCell ref="K17:N17"/>
    <mergeCell ref="B18:E18"/>
    <mergeCell ref="F18:I18"/>
    <mergeCell ref="K18:N18"/>
    <mergeCell ref="B19:E19"/>
    <mergeCell ref="F19:I19"/>
    <mergeCell ref="K19:N19"/>
    <mergeCell ref="B15:E15"/>
    <mergeCell ref="F15:I15"/>
    <mergeCell ref="B16:E16"/>
    <mergeCell ref="F16:I16"/>
    <mergeCell ref="B17:E17"/>
    <mergeCell ref="F17:I17"/>
    <mergeCell ref="D1:I1"/>
    <mergeCell ref="D2:I2"/>
    <mergeCell ref="D3:I3"/>
    <mergeCell ref="A5:I5"/>
    <mergeCell ref="B14:E14"/>
    <mergeCell ref="F14:I14"/>
  </mergeCells>
  <hyperlinks>
    <hyperlink ref="K5" location="Input!A72" display="balik ke input" xr:uid="{00000000-0004-0000-0300-000000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63"/>
  <sheetViews>
    <sheetView view="pageBreakPreview" topLeftCell="A13" zoomScale="115" zoomScaleNormal="100" workbookViewId="0">
      <selection activeCell="B18" sqref="B18:E26"/>
    </sheetView>
  </sheetViews>
  <sheetFormatPr defaultColWidth="9" defaultRowHeight="14.25"/>
  <cols>
    <col min="1" max="1" width="3.6640625" style="18" customWidth="1"/>
    <col min="2" max="2" width="8.19921875" style="18" customWidth="1"/>
    <col min="3" max="3" width="2" style="18" customWidth="1"/>
    <col min="4" max="4" width="14.6640625" style="18" customWidth="1"/>
    <col min="5" max="5" width="8.6640625" style="18" customWidth="1"/>
    <col min="6" max="6" width="8.33203125" style="18" customWidth="1"/>
    <col min="7" max="7" width="5.53125" style="18" customWidth="1"/>
    <col min="8" max="8" width="12" style="18" customWidth="1"/>
    <col min="9" max="11" width="9.86328125" style="18" customWidth="1"/>
    <col min="12" max="13" width="13.6640625" style="18" customWidth="1"/>
    <col min="14" max="14" width="9" style="18" hidden="1" customWidth="1"/>
    <col min="15" max="260" width="8.86328125" style="18"/>
    <col min="261" max="261" width="9.86328125" style="18" customWidth="1"/>
    <col min="262" max="262" width="2" style="18" customWidth="1"/>
    <col min="263" max="263" width="12.53125" style="18" customWidth="1"/>
    <col min="264" max="264" width="1.86328125" style="18" customWidth="1"/>
    <col min="265" max="265" width="2" style="18" customWidth="1"/>
    <col min="266" max="266" width="16" style="18" customWidth="1"/>
    <col min="267" max="267" width="26" style="18" customWidth="1"/>
    <col min="268" max="268" width="8.86328125" style="18"/>
    <col min="269" max="269" width="9" style="18" customWidth="1"/>
    <col min="270" max="516" width="8.86328125" style="18"/>
    <col min="517" max="517" width="9.86328125" style="18" customWidth="1"/>
    <col min="518" max="518" width="2" style="18" customWidth="1"/>
    <col min="519" max="519" width="12.53125" style="18" customWidth="1"/>
    <col min="520" max="520" width="1.86328125" style="18" customWidth="1"/>
    <col min="521" max="521" width="2" style="18" customWidth="1"/>
    <col min="522" max="522" width="16" style="18" customWidth="1"/>
    <col min="523" max="523" width="26" style="18" customWidth="1"/>
    <col min="524" max="524" width="8.86328125" style="18"/>
    <col min="525" max="525" width="9" style="18" customWidth="1"/>
    <col min="526" max="772" width="8.86328125" style="18"/>
    <col min="773" max="773" width="9.86328125" style="18" customWidth="1"/>
    <col min="774" max="774" width="2" style="18" customWidth="1"/>
    <col min="775" max="775" width="12.53125" style="18" customWidth="1"/>
    <col min="776" max="776" width="1.86328125" style="18" customWidth="1"/>
    <col min="777" max="777" width="2" style="18" customWidth="1"/>
    <col min="778" max="778" width="16" style="18" customWidth="1"/>
    <col min="779" max="779" width="26" style="18" customWidth="1"/>
    <col min="780" max="780" width="8.86328125" style="18"/>
    <col min="781" max="781" width="9" style="18" customWidth="1"/>
    <col min="782" max="1028" width="8.86328125" style="18"/>
    <col min="1029" max="1029" width="9.86328125" style="18" customWidth="1"/>
    <col min="1030" max="1030" width="2" style="18" customWidth="1"/>
    <col min="1031" max="1031" width="12.53125" style="18" customWidth="1"/>
    <col min="1032" max="1032" width="1.86328125" style="18" customWidth="1"/>
    <col min="1033" max="1033" width="2" style="18" customWidth="1"/>
    <col min="1034" max="1034" width="16" style="18" customWidth="1"/>
    <col min="1035" max="1035" width="26" style="18" customWidth="1"/>
    <col min="1036" max="1036" width="8.86328125" style="18"/>
    <col min="1037" max="1037" width="9" style="18" customWidth="1"/>
    <col min="1038" max="1284" width="8.86328125" style="18"/>
    <col min="1285" max="1285" width="9.86328125" style="18" customWidth="1"/>
    <col min="1286" max="1286" width="2" style="18" customWidth="1"/>
    <col min="1287" max="1287" width="12.53125" style="18" customWidth="1"/>
    <col min="1288" max="1288" width="1.86328125" style="18" customWidth="1"/>
    <col min="1289" max="1289" width="2" style="18" customWidth="1"/>
    <col min="1290" max="1290" width="16" style="18" customWidth="1"/>
    <col min="1291" max="1291" width="26" style="18" customWidth="1"/>
    <col min="1292" max="1292" width="8.86328125" style="18"/>
    <col min="1293" max="1293" width="9" style="18" customWidth="1"/>
    <col min="1294" max="1540" width="8.86328125" style="18"/>
    <col min="1541" max="1541" width="9.86328125" style="18" customWidth="1"/>
    <col min="1542" max="1542" width="2" style="18" customWidth="1"/>
    <col min="1543" max="1543" width="12.53125" style="18" customWidth="1"/>
    <col min="1544" max="1544" width="1.86328125" style="18" customWidth="1"/>
    <col min="1545" max="1545" width="2" style="18" customWidth="1"/>
    <col min="1546" max="1546" width="16" style="18" customWidth="1"/>
    <col min="1547" max="1547" width="26" style="18" customWidth="1"/>
    <col min="1548" max="1548" width="8.86328125" style="18"/>
    <col min="1549" max="1549" width="9" style="18" customWidth="1"/>
    <col min="1550" max="1796" width="8.86328125" style="18"/>
    <col min="1797" max="1797" width="9.86328125" style="18" customWidth="1"/>
    <col min="1798" max="1798" width="2" style="18" customWidth="1"/>
    <col min="1799" max="1799" width="12.53125" style="18" customWidth="1"/>
    <col min="1800" max="1800" width="1.86328125" style="18" customWidth="1"/>
    <col min="1801" max="1801" width="2" style="18" customWidth="1"/>
    <col min="1802" max="1802" width="16" style="18" customWidth="1"/>
    <col min="1803" max="1803" width="26" style="18" customWidth="1"/>
    <col min="1804" max="1804" width="8.86328125" style="18"/>
    <col min="1805" max="1805" width="9" style="18" customWidth="1"/>
    <col min="1806" max="2052" width="8.86328125" style="18"/>
    <col min="2053" max="2053" width="9.86328125" style="18" customWidth="1"/>
    <col min="2054" max="2054" width="2" style="18" customWidth="1"/>
    <col min="2055" max="2055" width="12.53125" style="18" customWidth="1"/>
    <col min="2056" max="2056" width="1.86328125" style="18" customWidth="1"/>
    <col min="2057" max="2057" width="2" style="18" customWidth="1"/>
    <col min="2058" max="2058" width="16" style="18" customWidth="1"/>
    <col min="2059" max="2059" width="26" style="18" customWidth="1"/>
    <col min="2060" max="2060" width="8.86328125" style="18"/>
    <col min="2061" max="2061" width="9" style="18" customWidth="1"/>
    <col min="2062" max="2308" width="8.86328125" style="18"/>
    <col min="2309" max="2309" width="9.86328125" style="18" customWidth="1"/>
    <col min="2310" max="2310" width="2" style="18" customWidth="1"/>
    <col min="2311" max="2311" width="12.53125" style="18" customWidth="1"/>
    <col min="2312" max="2312" width="1.86328125" style="18" customWidth="1"/>
    <col min="2313" max="2313" width="2" style="18" customWidth="1"/>
    <col min="2314" max="2314" width="16" style="18" customWidth="1"/>
    <col min="2315" max="2315" width="26" style="18" customWidth="1"/>
    <col min="2316" max="2316" width="8.86328125" style="18"/>
    <col min="2317" max="2317" width="9" style="18" customWidth="1"/>
    <col min="2318" max="2564" width="8.86328125" style="18"/>
    <col min="2565" max="2565" width="9.86328125" style="18" customWidth="1"/>
    <col min="2566" max="2566" width="2" style="18" customWidth="1"/>
    <col min="2567" max="2567" width="12.53125" style="18" customWidth="1"/>
    <col min="2568" max="2568" width="1.86328125" style="18" customWidth="1"/>
    <col min="2569" max="2569" width="2" style="18" customWidth="1"/>
    <col min="2570" max="2570" width="16" style="18" customWidth="1"/>
    <col min="2571" max="2571" width="26" style="18" customWidth="1"/>
    <col min="2572" max="2572" width="8.86328125" style="18"/>
    <col min="2573" max="2573" width="9" style="18" customWidth="1"/>
    <col min="2574" max="2820" width="8.86328125" style="18"/>
    <col min="2821" max="2821" width="9.86328125" style="18" customWidth="1"/>
    <col min="2822" max="2822" width="2" style="18" customWidth="1"/>
    <col min="2823" max="2823" width="12.53125" style="18" customWidth="1"/>
    <col min="2824" max="2824" width="1.86328125" style="18" customWidth="1"/>
    <col min="2825" max="2825" width="2" style="18" customWidth="1"/>
    <col min="2826" max="2826" width="16" style="18" customWidth="1"/>
    <col min="2827" max="2827" width="26" style="18" customWidth="1"/>
    <col min="2828" max="2828" width="8.86328125" style="18"/>
    <col min="2829" max="2829" width="9" style="18" customWidth="1"/>
    <col min="2830" max="3076" width="8.86328125" style="18"/>
    <col min="3077" max="3077" width="9.86328125" style="18" customWidth="1"/>
    <col min="3078" max="3078" width="2" style="18" customWidth="1"/>
    <col min="3079" max="3079" width="12.53125" style="18" customWidth="1"/>
    <col min="3080" max="3080" width="1.86328125" style="18" customWidth="1"/>
    <col min="3081" max="3081" width="2" style="18" customWidth="1"/>
    <col min="3082" max="3082" width="16" style="18" customWidth="1"/>
    <col min="3083" max="3083" width="26" style="18" customWidth="1"/>
    <col min="3084" max="3084" width="8.86328125" style="18"/>
    <col min="3085" max="3085" width="9" style="18" customWidth="1"/>
    <col min="3086" max="3332" width="8.86328125" style="18"/>
    <col min="3333" max="3333" width="9.86328125" style="18" customWidth="1"/>
    <col min="3334" max="3334" width="2" style="18" customWidth="1"/>
    <col min="3335" max="3335" width="12.53125" style="18" customWidth="1"/>
    <col min="3336" max="3336" width="1.86328125" style="18" customWidth="1"/>
    <col min="3337" max="3337" width="2" style="18" customWidth="1"/>
    <col min="3338" max="3338" width="16" style="18" customWidth="1"/>
    <col min="3339" max="3339" width="26" style="18" customWidth="1"/>
    <col min="3340" max="3340" width="8.86328125" style="18"/>
    <col min="3341" max="3341" width="9" style="18" customWidth="1"/>
    <col min="3342" max="3588" width="8.86328125" style="18"/>
    <col min="3589" max="3589" width="9.86328125" style="18" customWidth="1"/>
    <col min="3590" max="3590" width="2" style="18" customWidth="1"/>
    <col min="3591" max="3591" width="12.53125" style="18" customWidth="1"/>
    <col min="3592" max="3592" width="1.86328125" style="18" customWidth="1"/>
    <col min="3593" max="3593" width="2" style="18" customWidth="1"/>
    <col min="3594" max="3594" width="16" style="18" customWidth="1"/>
    <col min="3595" max="3595" width="26" style="18" customWidth="1"/>
    <col min="3596" max="3596" width="8.86328125" style="18"/>
    <col min="3597" max="3597" width="9" style="18" customWidth="1"/>
    <col min="3598" max="3844" width="8.86328125" style="18"/>
    <col min="3845" max="3845" width="9.86328125" style="18" customWidth="1"/>
    <col min="3846" max="3846" width="2" style="18" customWidth="1"/>
    <col min="3847" max="3847" width="12.53125" style="18" customWidth="1"/>
    <col min="3848" max="3848" width="1.86328125" style="18" customWidth="1"/>
    <col min="3849" max="3849" width="2" style="18" customWidth="1"/>
    <col min="3850" max="3850" width="16" style="18" customWidth="1"/>
    <col min="3851" max="3851" width="26" style="18" customWidth="1"/>
    <col min="3852" max="3852" width="8.86328125" style="18"/>
    <col min="3853" max="3853" width="9" style="18" customWidth="1"/>
    <col min="3854" max="4100" width="8.86328125" style="18"/>
    <col min="4101" max="4101" width="9.86328125" style="18" customWidth="1"/>
    <col min="4102" max="4102" width="2" style="18" customWidth="1"/>
    <col min="4103" max="4103" width="12.53125" style="18" customWidth="1"/>
    <col min="4104" max="4104" width="1.86328125" style="18" customWidth="1"/>
    <col min="4105" max="4105" width="2" style="18" customWidth="1"/>
    <col min="4106" max="4106" width="16" style="18" customWidth="1"/>
    <col min="4107" max="4107" width="26" style="18" customWidth="1"/>
    <col min="4108" max="4108" width="8.86328125" style="18"/>
    <col min="4109" max="4109" width="9" style="18" customWidth="1"/>
    <col min="4110" max="4356" width="8.86328125" style="18"/>
    <col min="4357" max="4357" width="9.86328125" style="18" customWidth="1"/>
    <col min="4358" max="4358" width="2" style="18" customWidth="1"/>
    <col min="4359" max="4359" width="12.53125" style="18" customWidth="1"/>
    <col min="4360" max="4360" width="1.86328125" style="18" customWidth="1"/>
    <col min="4361" max="4361" width="2" style="18" customWidth="1"/>
    <col min="4362" max="4362" width="16" style="18" customWidth="1"/>
    <col min="4363" max="4363" width="26" style="18" customWidth="1"/>
    <col min="4364" max="4364" width="8.86328125" style="18"/>
    <col min="4365" max="4365" width="9" style="18" customWidth="1"/>
    <col min="4366" max="4612" width="8.86328125" style="18"/>
    <col min="4613" max="4613" width="9.86328125" style="18" customWidth="1"/>
    <col min="4614" max="4614" width="2" style="18" customWidth="1"/>
    <col min="4615" max="4615" width="12.53125" style="18" customWidth="1"/>
    <col min="4616" max="4616" width="1.86328125" style="18" customWidth="1"/>
    <col min="4617" max="4617" width="2" style="18" customWidth="1"/>
    <col min="4618" max="4618" width="16" style="18" customWidth="1"/>
    <col min="4619" max="4619" width="26" style="18" customWidth="1"/>
    <col min="4620" max="4620" width="8.86328125" style="18"/>
    <col min="4621" max="4621" width="9" style="18" customWidth="1"/>
    <col min="4622" max="4868" width="8.86328125" style="18"/>
    <col min="4869" max="4869" width="9.86328125" style="18" customWidth="1"/>
    <col min="4870" max="4870" width="2" style="18" customWidth="1"/>
    <col min="4871" max="4871" width="12.53125" style="18" customWidth="1"/>
    <col min="4872" max="4872" width="1.86328125" style="18" customWidth="1"/>
    <col min="4873" max="4873" width="2" style="18" customWidth="1"/>
    <col min="4874" max="4874" width="16" style="18" customWidth="1"/>
    <col min="4875" max="4875" width="26" style="18" customWidth="1"/>
    <col min="4876" max="4876" width="8.86328125" style="18"/>
    <col min="4877" max="4877" width="9" style="18" customWidth="1"/>
    <col min="4878" max="5124" width="8.86328125" style="18"/>
    <col min="5125" max="5125" width="9.86328125" style="18" customWidth="1"/>
    <col min="5126" max="5126" width="2" style="18" customWidth="1"/>
    <col min="5127" max="5127" width="12.53125" style="18" customWidth="1"/>
    <col min="5128" max="5128" width="1.86328125" style="18" customWidth="1"/>
    <col min="5129" max="5129" width="2" style="18" customWidth="1"/>
    <col min="5130" max="5130" width="16" style="18" customWidth="1"/>
    <col min="5131" max="5131" width="26" style="18" customWidth="1"/>
    <col min="5132" max="5132" width="8.86328125" style="18"/>
    <col min="5133" max="5133" width="9" style="18" customWidth="1"/>
    <col min="5134" max="5380" width="8.86328125" style="18"/>
    <col min="5381" max="5381" width="9.86328125" style="18" customWidth="1"/>
    <col min="5382" max="5382" width="2" style="18" customWidth="1"/>
    <col min="5383" max="5383" width="12.53125" style="18" customWidth="1"/>
    <col min="5384" max="5384" width="1.86328125" style="18" customWidth="1"/>
    <col min="5385" max="5385" width="2" style="18" customWidth="1"/>
    <col min="5386" max="5386" width="16" style="18" customWidth="1"/>
    <col min="5387" max="5387" width="26" style="18" customWidth="1"/>
    <col min="5388" max="5388" width="8.86328125" style="18"/>
    <col min="5389" max="5389" width="9" style="18" customWidth="1"/>
    <col min="5390" max="5636" width="8.86328125" style="18"/>
    <col min="5637" max="5637" width="9.86328125" style="18" customWidth="1"/>
    <col min="5638" max="5638" width="2" style="18" customWidth="1"/>
    <col min="5639" max="5639" width="12.53125" style="18" customWidth="1"/>
    <col min="5640" max="5640" width="1.86328125" style="18" customWidth="1"/>
    <col min="5641" max="5641" width="2" style="18" customWidth="1"/>
    <col min="5642" max="5642" width="16" style="18" customWidth="1"/>
    <col min="5643" max="5643" width="26" style="18" customWidth="1"/>
    <col min="5644" max="5644" width="8.86328125" style="18"/>
    <col min="5645" max="5645" width="9" style="18" customWidth="1"/>
    <col min="5646" max="5892" width="8.86328125" style="18"/>
    <col min="5893" max="5893" width="9.86328125" style="18" customWidth="1"/>
    <col min="5894" max="5894" width="2" style="18" customWidth="1"/>
    <col min="5895" max="5895" width="12.53125" style="18" customWidth="1"/>
    <col min="5896" max="5896" width="1.86328125" style="18" customWidth="1"/>
    <col min="5897" max="5897" width="2" style="18" customWidth="1"/>
    <col min="5898" max="5898" width="16" style="18" customWidth="1"/>
    <col min="5899" max="5899" width="26" style="18" customWidth="1"/>
    <col min="5900" max="5900" width="8.86328125" style="18"/>
    <col min="5901" max="5901" width="9" style="18" customWidth="1"/>
    <col min="5902" max="6148" width="8.86328125" style="18"/>
    <col min="6149" max="6149" width="9.86328125" style="18" customWidth="1"/>
    <col min="6150" max="6150" width="2" style="18" customWidth="1"/>
    <col min="6151" max="6151" width="12.53125" style="18" customWidth="1"/>
    <col min="6152" max="6152" width="1.86328125" style="18" customWidth="1"/>
    <col min="6153" max="6153" width="2" style="18" customWidth="1"/>
    <col min="6154" max="6154" width="16" style="18" customWidth="1"/>
    <col min="6155" max="6155" width="26" style="18" customWidth="1"/>
    <col min="6156" max="6156" width="8.86328125" style="18"/>
    <col min="6157" max="6157" width="9" style="18" customWidth="1"/>
    <col min="6158" max="6404" width="8.86328125" style="18"/>
    <col min="6405" max="6405" width="9.86328125" style="18" customWidth="1"/>
    <col min="6406" max="6406" width="2" style="18" customWidth="1"/>
    <col min="6407" max="6407" width="12.53125" style="18" customWidth="1"/>
    <col min="6408" max="6408" width="1.86328125" style="18" customWidth="1"/>
    <col min="6409" max="6409" width="2" style="18" customWidth="1"/>
    <col min="6410" max="6410" width="16" style="18" customWidth="1"/>
    <col min="6411" max="6411" width="26" style="18" customWidth="1"/>
    <col min="6412" max="6412" width="8.86328125" style="18"/>
    <col min="6413" max="6413" width="9" style="18" customWidth="1"/>
    <col min="6414" max="6660" width="8.86328125" style="18"/>
    <col min="6661" max="6661" width="9.86328125" style="18" customWidth="1"/>
    <col min="6662" max="6662" width="2" style="18" customWidth="1"/>
    <col min="6663" max="6663" width="12.53125" style="18" customWidth="1"/>
    <col min="6664" max="6664" width="1.86328125" style="18" customWidth="1"/>
    <col min="6665" max="6665" width="2" style="18" customWidth="1"/>
    <col min="6666" max="6666" width="16" style="18" customWidth="1"/>
    <col min="6667" max="6667" width="26" style="18" customWidth="1"/>
    <col min="6668" max="6668" width="8.86328125" style="18"/>
    <col min="6669" max="6669" width="9" style="18" customWidth="1"/>
    <col min="6670" max="6916" width="8.86328125" style="18"/>
    <col min="6917" max="6917" width="9.86328125" style="18" customWidth="1"/>
    <col min="6918" max="6918" width="2" style="18" customWidth="1"/>
    <col min="6919" max="6919" width="12.53125" style="18" customWidth="1"/>
    <col min="6920" max="6920" width="1.86328125" style="18" customWidth="1"/>
    <col min="6921" max="6921" width="2" style="18" customWidth="1"/>
    <col min="6922" max="6922" width="16" style="18" customWidth="1"/>
    <col min="6923" max="6923" width="26" style="18" customWidth="1"/>
    <col min="6924" max="6924" width="8.86328125" style="18"/>
    <col min="6925" max="6925" width="9" style="18" customWidth="1"/>
    <col min="6926" max="7172" width="8.86328125" style="18"/>
    <col min="7173" max="7173" width="9.86328125" style="18" customWidth="1"/>
    <col min="7174" max="7174" width="2" style="18" customWidth="1"/>
    <col min="7175" max="7175" width="12.53125" style="18" customWidth="1"/>
    <col min="7176" max="7176" width="1.86328125" style="18" customWidth="1"/>
    <col min="7177" max="7177" width="2" style="18" customWidth="1"/>
    <col min="7178" max="7178" width="16" style="18" customWidth="1"/>
    <col min="7179" max="7179" width="26" style="18" customWidth="1"/>
    <col min="7180" max="7180" width="8.86328125" style="18"/>
    <col min="7181" max="7181" width="9" style="18" customWidth="1"/>
    <col min="7182" max="7428" width="8.86328125" style="18"/>
    <col min="7429" max="7429" width="9.86328125" style="18" customWidth="1"/>
    <col min="7430" max="7430" width="2" style="18" customWidth="1"/>
    <col min="7431" max="7431" width="12.53125" style="18" customWidth="1"/>
    <col min="7432" max="7432" width="1.86328125" style="18" customWidth="1"/>
    <col min="7433" max="7433" width="2" style="18" customWidth="1"/>
    <col min="7434" max="7434" width="16" style="18" customWidth="1"/>
    <col min="7435" max="7435" width="26" style="18" customWidth="1"/>
    <col min="7436" max="7436" width="8.86328125" style="18"/>
    <col min="7437" max="7437" width="9" style="18" customWidth="1"/>
    <col min="7438" max="7684" width="8.86328125" style="18"/>
    <col min="7685" max="7685" width="9.86328125" style="18" customWidth="1"/>
    <col min="7686" max="7686" width="2" style="18" customWidth="1"/>
    <col min="7687" max="7687" width="12.53125" style="18" customWidth="1"/>
    <col min="7688" max="7688" width="1.86328125" style="18" customWidth="1"/>
    <col min="7689" max="7689" width="2" style="18" customWidth="1"/>
    <col min="7690" max="7690" width="16" style="18" customWidth="1"/>
    <col min="7691" max="7691" width="26" style="18" customWidth="1"/>
    <col min="7692" max="7692" width="8.86328125" style="18"/>
    <col min="7693" max="7693" width="9" style="18" customWidth="1"/>
    <col min="7694" max="7940" width="8.86328125" style="18"/>
    <col min="7941" max="7941" width="9.86328125" style="18" customWidth="1"/>
    <col min="7942" max="7942" width="2" style="18" customWidth="1"/>
    <col min="7943" max="7943" width="12.53125" style="18" customWidth="1"/>
    <col min="7944" max="7944" width="1.86328125" style="18" customWidth="1"/>
    <col min="7945" max="7945" width="2" style="18" customWidth="1"/>
    <col min="7946" max="7946" width="16" style="18" customWidth="1"/>
    <col min="7947" max="7947" width="26" style="18" customWidth="1"/>
    <col min="7948" max="7948" width="8.86328125" style="18"/>
    <col min="7949" max="7949" width="9" style="18" customWidth="1"/>
    <col min="7950" max="8196" width="8.86328125" style="18"/>
    <col min="8197" max="8197" width="9.86328125" style="18" customWidth="1"/>
    <col min="8198" max="8198" width="2" style="18" customWidth="1"/>
    <col min="8199" max="8199" width="12.53125" style="18" customWidth="1"/>
    <col min="8200" max="8200" width="1.86328125" style="18" customWidth="1"/>
    <col min="8201" max="8201" width="2" style="18" customWidth="1"/>
    <col min="8202" max="8202" width="16" style="18" customWidth="1"/>
    <col min="8203" max="8203" width="26" style="18" customWidth="1"/>
    <col min="8204" max="8204" width="8.86328125" style="18"/>
    <col min="8205" max="8205" width="9" style="18" customWidth="1"/>
    <col min="8206" max="8452" width="8.86328125" style="18"/>
    <col min="8453" max="8453" width="9.86328125" style="18" customWidth="1"/>
    <col min="8454" max="8454" width="2" style="18" customWidth="1"/>
    <col min="8455" max="8455" width="12.53125" style="18" customWidth="1"/>
    <col min="8456" max="8456" width="1.86328125" style="18" customWidth="1"/>
    <col min="8457" max="8457" width="2" style="18" customWidth="1"/>
    <col min="8458" max="8458" width="16" style="18" customWidth="1"/>
    <col min="8459" max="8459" width="26" style="18" customWidth="1"/>
    <col min="8460" max="8460" width="8.86328125" style="18"/>
    <col min="8461" max="8461" width="9" style="18" customWidth="1"/>
    <col min="8462" max="8708" width="8.86328125" style="18"/>
    <col min="8709" max="8709" width="9.86328125" style="18" customWidth="1"/>
    <col min="8710" max="8710" width="2" style="18" customWidth="1"/>
    <col min="8711" max="8711" width="12.53125" style="18" customWidth="1"/>
    <col min="8712" max="8712" width="1.86328125" style="18" customWidth="1"/>
    <col min="8713" max="8713" width="2" style="18" customWidth="1"/>
    <col min="8714" max="8714" width="16" style="18" customWidth="1"/>
    <col min="8715" max="8715" width="26" style="18" customWidth="1"/>
    <col min="8716" max="8716" width="8.86328125" style="18"/>
    <col min="8717" max="8717" width="9" style="18" customWidth="1"/>
    <col min="8718" max="8964" width="8.86328125" style="18"/>
    <col min="8965" max="8965" width="9.86328125" style="18" customWidth="1"/>
    <col min="8966" max="8966" width="2" style="18" customWidth="1"/>
    <col min="8967" max="8967" width="12.53125" style="18" customWidth="1"/>
    <col min="8968" max="8968" width="1.86328125" style="18" customWidth="1"/>
    <col min="8969" max="8969" width="2" style="18" customWidth="1"/>
    <col min="8970" max="8970" width="16" style="18" customWidth="1"/>
    <col min="8971" max="8971" width="26" style="18" customWidth="1"/>
    <col min="8972" max="8972" width="8.86328125" style="18"/>
    <col min="8973" max="8973" width="9" style="18" customWidth="1"/>
    <col min="8974" max="9220" width="8.86328125" style="18"/>
    <col min="9221" max="9221" width="9.86328125" style="18" customWidth="1"/>
    <col min="9222" max="9222" width="2" style="18" customWidth="1"/>
    <col min="9223" max="9223" width="12.53125" style="18" customWidth="1"/>
    <col min="9224" max="9224" width="1.86328125" style="18" customWidth="1"/>
    <col min="9225" max="9225" width="2" style="18" customWidth="1"/>
    <col min="9226" max="9226" width="16" style="18" customWidth="1"/>
    <col min="9227" max="9227" width="26" style="18" customWidth="1"/>
    <col min="9228" max="9228" width="8.86328125" style="18"/>
    <col min="9229" max="9229" width="9" style="18" customWidth="1"/>
    <col min="9230" max="9476" width="8.86328125" style="18"/>
    <col min="9477" max="9477" width="9.86328125" style="18" customWidth="1"/>
    <col min="9478" max="9478" width="2" style="18" customWidth="1"/>
    <col min="9479" max="9479" width="12.53125" style="18" customWidth="1"/>
    <col min="9480" max="9480" width="1.86328125" style="18" customWidth="1"/>
    <col min="9481" max="9481" width="2" style="18" customWidth="1"/>
    <col min="9482" max="9482" width="16" style="18" customWidth="1"/>
    <col min="9483" max="9483" width="26" style="18" customWidth="1"/>
    <col min="9484" max="9484" width="8.86328125" style="18"/>
    <col min="9485" max="9485" width="9" style="18" customWidth="1"/>
    <col min="9486" max="9732" width="8.86328125" style="18"/>
    <col min="9733" max="9733" width="9.86328125" style="18" customWidth="1"/>
    <col min="9734" max="9734" width="2" style="18" customWidth="1"/>
    <col min="9735" max="9735" width="12.53125" style="18" customWidth="1"/>
    <col min="9736" max="9736" width="1.86328125" style="18" customWidth="1"/>
    <col min="9737" max="9737" width="2" style="18" customWidth="1"/>
    <col min="9738" max="9738" width="16" style="18" customWidth="1"/>
    <col min="9739" max="9739" width="26" style="18" customWidth="1"/>
    <col min="9740" max="9740" width="8.86328125" style="18"/>
    <col min="9741" max="9741" width="9" style="18" customWidth="1"/>
    <col min="9742" max="9988" width="8.86328125" style="18"/>
    <col min="9989" max="9989" width="9.86328125" style="18" customWidth="1"/>
    <col min="9990" max="9990" width="2" style="18" customWidth="1"/>
    <col min="9991" max="9991" width="12.53125" style="18" customWidth="1"/>
    <col min="9992" max="9992" width="1.86328125" style="18" customWidth="1"/>
    <col min="9993" max="9993" width="2" style="18" customWidth="1"/>
    <col min="9994" max="9994" width="16" style="18" customWidth="1"/>
    <col min="9995" max="9995" width="26" style="18" customWidth="1"/>
    <col min="9996" max="9996" width="8.86328125" style="18"/>
    <col min="9997" max="9997" width="9" style="18" customWidth="1"/>
    <col min="9998" max="10244" width="8.86328125" style="18"/>
    <col min="10245" max="10245" width="9.86328125" style="18" customWidth="1"/>
    <col min="10246" max="10246" width="2" style="18" customWidth="1"/>
    <col min="10247" max="10247" width="12.53125" style="18" customWidth="1"/>
    <col min="10248" max="10248" width="1.86328125" style="18" customWidth="1"/>
    <col min="10249" max="10249" width="2" style="18" customWidth="1"/>
    <col min="10250" max="10250" width="16" style="18" customWidth="1"/>
    <col min="10251" max="10251" width="26" style="18" customWidth="1"/>
    <col min="10252" max="10252" width="8.86328125" style="18"/>
    <col min="10253" max="10253" width="9" style="18" customWidth="1"/>
    <col min="10254" max="10500" width="8.86328125" style="18"/>
    <col min="10501" max="10501" width="9.86328125" style="18" customWidth="1"/>
    <col min="10502" max="10502" width="2" style="18" customWidth="1"/>
    <col min="10503" max="10503" width="12.53125" style="18" customWidth="1"/>
    <col min="10504" max="10504" width="1.86328125" style="18" customWidth="1"/>
    <col min="10505" max="10505" width="2" style="18" customWidth="1"/>
    <col min="10506" max="10506" width="16" style="18" customWidth="1"/>
    <col min="10507" max="10507" width="26" style="18" customWidth="1"/>
    <col min="10508" max="10508" width="8.86328125" style="18"/>
    <col min="10509" max="10509" width="9" style="18" customWidth="1"/>
    <col min="10510" max="10756" width="8.86328125" style="18"/>
    <col min="10757" max="10757" width="9.86328125" style="18" customWidth="1"/>
    <col min="10758" max="10758" width="2" style="18" customWidth="1"/>
    <col min="10759" max="10759" width="12.53125" style="18" customWidth="1"/>
    <col min="10760" max="10760" width="1.86328125" style="18" customWidth="1"/>
    <col min="10761" max="10761" width="2" style="18" customWidth="1"/>
    <col min="10762" max="10762" width="16" style="18" customWidth="1"/>
    <col min="10763" max="10763" width="26" style="18" customWidth="1"/>
    <col min="10764" max="10764" width="8.86328125" style="18"/>
    <col min="10765" max="10765" width="9" style="18" customWidth="1"/>
    <col min="10766" max="11012" width="8.86328125" style="18"/>
    <col min="11013" max="11013" width="9.86328125" style="18" customWidth="1"/>
    <col min="11014" max="11014" width="2" style="18" customWidth="1"/>
    <col min="11015" max="11015" width="12.53125" style="18" customWidth="1"/>
    <col min="11016" max="11016" width="1.86328125" style="18" customWidth="1"/>
    <col min="11017" max="11017" width="2" style="18" customWidth="1"/>
    <col min="11018" max="11018" width="16" style="18" customWidth="1"/>
    <col min="11019" max="11019" width="26" style="18" customWidth="1"/>
    <col min="11020" max="11020" width="8.86328125" style="18"/>
    <col min="11021" max="11021" width="9" style="18" customWidth="1"/>
    <col min="11022" max="11268" width="8.86328125" style="18"/>
    <col min="11269" max="11269" width="9.86328125" style="18" customWidth="1"/>
    <col min="11270" max="11270" width="2" style="18" customWidth="1"/>
    <col min="11271" max="11271" width="12.53125" style="18" customWidth="1"/>
    <col min="11272" max="11272" width="1.86328125" style="18" customWidth="1"/>
    <col min="11273" max="11273" width="2" style="18" customWidth="1"/>
    <col min="11274" max="11274" width="16" style="18" customWidth="1"/>
    <col min="11275" max="11275" width="26" style="18" customWidth="1"/>
    <col min="11276" max="11276" width="8.86328125" style="18"/>
    <col min="11277" max="11277" width="9" style="18" customWidth="1"/>
    <col min="11278" max="11524" width="8.86328125" style="18"/>
    <col min="11525" max="11525" width="9.86328125" style="18" customWidth="1"/>
    <col min="11526" max="11526" width="2" style="18" customWidth="1"/>
    <col min="11527" max="11527" width="12.53125" style="18" customWidth="1"/>
    <col min="11528" max="11528" width="1.86328125" style="18" customWidth="1"/>
    <col min="11529" max="11529" width="2" style="18" customWidth="1"/>
    <col min="11530" max="11530" width="16" style="18" customWidth="1"/>
    <col min="11531" max="11531" width="26" style="18" customWidth="1"/>
    <col min="11532" max="11532" width="8.86328125" style="18"/>
    <col min="11533" max="11533" width="9" style="18" customWidth="1"/>
    <col min="11534" max="11780" width="8.86328125" style="18"/>
    <col min="11781" max="11781" width="9.86328125" style="18" customWidth="1"/>
    <col min="11782" max="11782" width="2" style="18" customWidth="1"/>
    <col min="11783" max="11783" width="12.53125" style="18" customWidth="1"/>
    <col min="11784" max="11784" width="1.86328125" style="18" customWidth="1"/>
    <col min="11785" max="11785" width="2" style="18" customWidth="1"/>
    <col min="11786" max="11786" width="16" style="18" customWidth="1"/>
    <col min="11787" max="11787" width="26" style="18" customWidth="1"/>
    <col min="11788" max="11788" width="8.86328125" style="18"/>
    <col min="11789" max="11789" width="9" style="18" customWidth="1"/>
    <col min="11790" max="12036" width="8.86328125" style="18"/>
    <col min="12037" max="12037" width="9.86328125" style="18" customWidth="1"/>
    <col min="12038" max="12038" width="2" style="18" customWidth="1"/>
    <col min="12039" max="12039" width="12.53125" style="18" customWidth="1"/>
    <col min="12040" max="12040" width="1.86328125" style="18" customWidth="1"/>
    <col min="12041" max="12041" width="2" style="18" customWidth="1"/>
    <col min="12042" max="12042" width="16" style="18" customWidth="1"/>
    <col min="12043" max="12043" width="26" style="18" customWidth="1"/>
    <col min="12044" max="12044" width="8.86328125" style="18"/>
    <col min="12045" max="12045" width="9" style="18" customWidth="1"/>
    <col min="12046" max="12292" width="8.86328125" style="18"/>
    <col min="12293" max="12293" width="9.86328125" style="18" customWidth="1"/>
    <col min="12294" max="12294" width="2" style="18" customWidth="1"/>
    <col min="12295" max="12295" width="12.53125" style="18" customWidth="1"/>
    <col min="12296" max="12296" width="1.86328125" style="18" customWidth="1"/>
    <col min="12297" max="12297" width="2" style="18" customWidth="1"/>
    <col min="12298" max="12298" width="16" style="18" customWidth="1"/>
    <col min="12299" max="12299" width="26" style="18" customWidth="1"/>
    <col min="12300" max="12300" width="8.86328125" style="18"/>
    <col min="12301" max="12301" width="9" style="18" customWidth="1"/>
    <col min="12302" max="12548" width="8.86328125" style="18"/>
    <col min="12549" max="12549" width="9.86328125" style="18" customWidth="1"/>
    <col min="12550" max="12550" width="2" style="18" customWidth="1"/>
    <col min="12551" max="12551" width="12.53125" style="18" customWidth="1"/>
    <col min="12552" max="12552" width="1.86328125" style="18" customWidth="1"/>
    <col min="12553" max="12553" width="2" style="18" customWidth="1"/>
    <col min="12554" max="12554" width="16" style="18" customWidth="1"/>
    <col min="12555" max="12555" width="26" style="18" customWidth="1"/>
    <col min="12556" max="12556" width="8.86328125" style="18"/>
    <col min="12557" max="12557" width="9" style="18" customWidth="1"/>
    <col min="12558" max="12804" width="8.86328125" style="18"/>
    <col min="12805" max="12805" width="9.86328125" style="18" customWidth="1"/>
    <col min="12806" max="12806" width="2" style="18" customWidth="1"/>
    <col min="12807" max="12807" width="12.53125" style="18" customWidth="1"/>
    <col min="12808" max="12808" width="1.86328125" style="18" customWidth="1"/>
    <col min="12809" max="12809" width="2" style="18" customWidth="1"/>
    <col min="12810" max="12810" width="16" style="18" customWidth="1"/>
    <col min="12811" max="12811" width="26" style="18" customWidth="1"/>
    <col min="12812" max="12812" width="8.86328125" style="18"/>
    <col min="12813" max="12813" width="9" style="18" customWidth="1"/>
    <col min="12814" max="13060" width="8.86328125" style="18"/>
    <col min="13061" max="13061" width="9.86328125" style="18" customWidth="1"/>
    <col min="13062" max="13062" width="2" style="18" customWidth="1"/>
    <col min="13063" max="13063" width="12.53125" style="18" customWidth="1"/>
    <col min="13064" max="13064" width="1.86328125" style="18" customWidth="1"/>
    <col min="13065" max="13065" width="2" style="18" customWidth="1"/>
    <col min="13066" max="13066" width="16" style="18" customWidth="1"/>
    <col min="13067" max="13067" width="26" style="18" customWidth="1"/>
    <col min="13068" max="13068" width="8.86328125" style="18"/>
    <col min="13069" max="13069" width="9" style="18" customWidth="1"/>
    <col min="13070" max="13316" width="8.86328125" style="18"/>
    <col min="13317" max="13317" width="9.86328125" style="18" customWidth="1"/>
    <col min="13318" max="13318" width="2" style="18" customWidth="1"/>
    <col min="13319" max="13319" width="12.53125" style="18" customWidth="1"/>
    <col min="13320" max="13320" width="1.86328125" style="18" customWidth="1"/>
    <col min="13321" max="13321" width="2" style="18" customWidth="1"/>
    <col min="13322" max="13322" width="16" style="18" customWidth="1"/>
    <col min="13323" max="13323" width="26" style="18" customWidth="1"/>
    <col min="13324" max="13324" width="8.86328125" style="18"/>
    <col min="13325" max="13325" width="9" style="18" customWidth="1"/>
    <col min="13326" max="13572" width="8.86328125" style="18"/>
    <col min="13573" max="13573" width="9.86328125" style="18" customWidth="1"/>
    <col min="13574" max="13574" width="2" style="18" customWidth="1"/>
    <col min="13575" max="13575" width="12.53125" style="18" customWidth="1"/>
    <col min="13576" max="13576" width="1.86328125" style="18" customWidth="1"/>
    <col min="13577" max="13577" width="2" style="18" customWidth="1"/>
    <col min="13578" max="13578" width="16" style="18" customWidth="1"/>
    <col min="13579" max="13579" width="26" style="18" customWidth="1"/>
    <col min="13580" max="13580" width="8.86328125" style="18"/>
    <col min="13581" max="13581" width="9" style="18" customWidth="1"/>
    <col min="13582" max="13828" width="8.86328125" style="18"/>
    <col min="13829" max="13829" width="9.86328125" style="18" customWidth="1"/>
    <col min="13830" max="13830" width="2" style="18" customWidth="1"/>
    <col min="13831" max="13831" width="12.53125" style="18" customWidth="1"/>
    <col min="13832" max="13832" width="1.86328125" style="18" customWidth="1"/>
    <col min="13833" max="13833" width="2" style="18" customWidth="1"/>
    <col min="13834" max="13834" width="16" style="18" customWidth="1"/>
    <col min="13835" max="13835" width="26" style="18" customWidth="1"/>
    <col min="13836" max="13836" width="8.86328125" style="18"/>
    <col min="13837" max="13837" width="9" style="18" customWidth="1"/>
    <col min="13838" max="14084" width="8.86328125" style="18"/>
    <col min="14085" max="14085" width="9.86328125" style="18" customWidth="1"/>
    <col min="14086" max="14086" width="2" style="18" customWidth="1"/>
    <col min="14087" max="14087" width="12.53125" style="18" customWidth="1"/>
    <col min="14088" max="14088" width="1.86328125" style="18" customWidth="1"/>
    <col min="14089" max="14089" width="2" style="18" customWidth="1"/>
    <col min="14090" max="14090" width="16" style="18" customWidth="1"/>
    <col min="14091" max="14091" width="26" style="18" customWidth="1"/>
    <col min="14092" max="14092" width="8.86328125" style="18"/>
    <col min="14093" max="14093" width="9" style="18" customWidth="1"/>
    <col min="14094" max="14340" width="8.86328125" style="18"/>
    <col min="14341" max="14341" width="9.86328125" style="18" customWidth="1"/>
    <col min="14342" max="14342" width="2" style="18" customWidth="1"/>
    <col min="14343" max="14343" width="12.53125" style="18" customWidth="1"/>
    <col min="14344" max="14344" width="1.86328125" style="18" customWidth="1"/>
    <col min="14345" max="14345" width="2" style="18" customWidth="1"/>
    <col min="14346" max="14346" width="16" style="18" customWidth="1"/>
    <col min="14347" max="14347" width="26" style="18" customWidth="1"/>
    <col min="14348" max="14348" width="8.86328125" style="18"/>
    <col min="14349" max="14349" width="9" style="18" customWidth="1"/>
    <col min="14350" max="14596" width="8.86328125" style="18"/>
    <col min="14597" max="14597" width="9.86328125" style="18" customWidth="1"/>
    <col min="14598" max="14598" width="2" style="18" customWidth="1"/>
    <col min="14599" max="14599" width="12.53125" style="18" customWidth="1"/>
    <col min="14600" max="14600" width="1.86328125" style="18" customWidth="1"/>
    <col min="14601" max="14601" width="2" style="18" customWidth="1"/>
    <col min="14602" max="14602" width="16" style="18" customWidth="1"/>
    <col min="14603" max="14603" width="26" style="18" customWidth="1"/>
    <col min="14604" max="14604" width="8.86328125" style="18"/>
    <col min="14605" max="14605" width="9" style="18" customWidth="1"/>
    <col min="14606" max="14852" width="8.86328125" style="18"/>
    <col min="14853" max="14853" width="9.86328125" style="18" customWidth="1"/>
    <col min="14854" max="14854" width="2" style="18" customWidth="1"/>
    <col min="14855" max="14855" width="12.53125" style="18" customWidth="1"/>
    <col min="14856" max="14856" width="1.86328125" style="18" customWidth="1"/>
    <col min="14857" max="14857" width="2" style="18" customWidth="1"/>
    <col min="14858" max="14858" width="16" style="18" customWidth="1"/>
    <col min="14859" max="14859" width="26" style="18" customWidth="1"/>
    <col min="14860" max="14860" width="8.86328125" style="18"/>
    <col min="14861" max="14861" width="9" style="18" customWidth="1"/>
    <col min="14862" max="15108" width="8.86328125" style="18"/>
    <col min="15109" max="15109" width="9.86328125" style="18" customWidth="1"/>
    <col min="15110" max="15110" width="2" style="18" customWidth="1"/>
    <col min="15111" max="15111" width="12.53125" style="18" customWidth="1"/>
    <col min="15112" max="15112" width="1.86328125" style="18" customWidth="1"/>
    <col min="15113" max="15113" width="2" style="18" customWidth="1"/>
    <col min="15114" max="15114" width="16" style="18" customWidth="1"/>
    <col min="15115" max="15115" width="26" style="18" customWidth="1"/>
    <col min="15116" max="15116" width="8.86328125" style="18"/>
    <col min="15117" max="15117" width="9" style="18" customWidth="1"/>
    <col min="15118" max="15364" width="8.86328125" style="18"/>
    <col min="15365" max="15365" width="9.86328125" style="18" customWidth="1"/>
    <col min="15366" max="15366" width="2" style="18" customWidth="1"/>
    <col min="15367" max="15367" width="12.53125" style="18" customWidth="1"/>
    <col min="15368" max="15368" width="1.86328125" style="18" customWidth="1"/>
    <col min="15369" max="15369" width="2" style="18" customWidth="1"/>
    <col min="15370" max="15370" width="16" style="18" customWidth="1"/>
    <col min="15371" max="15371" width="26" style="18" customWidth="1"/>
    <col min="15372" max="15372" width="8.86328125" style="18"/>
    <col min="15373" max="15373" width="9" style="18" customWidth="1"/>
    <col min="15374" max="15620" width="8.86328125" style="18"/>
    <col min="15621" max="15621" width="9.86328125" style="18" customWidth="1"/>
    <col min="15622" max="15622" width="2" style="18" customWidth="1"/>
    <col min="15623" max="15623" width="12.53125" style="18" customWidth="1"/>
    <col min="15624" max="15624" width="1.86328125" style="18" customWidth="1"/>
    <col min="15625" max="15625" width="2" style="18" customWidth="1"/>
    <col min="15626" max="15626" width="16" style="18" customWidth="1"/>
    <col min="15627" max="15627" width="26" style="18" customWidth="1"/>
    <col min="15628" max="15628" width="8.86328125" style="18"/>
    <col min="15629" max="15629" width="9" style="18" customWidth="1"/>
    <col min="15630" max="15876" width="8.86328125" style="18"/>
    <col min="15877" max="15877" width="9.86328125" style="18" customWidth="1"/>
    <col min="15878" max="15878" width="2" style="18" customWidth="1"/>
    <col min="15879" max="15879" width="12.53125" style="18" customWidth="1"/>
    <col min="15880" max="15880" width="1.86328125" style="18" customWidth="1"/>
    <col min="15881" max="15881" width="2" style="18" customWidth="1"/>
    <col min="15882" max="15882" width="16" style="18" customWidth="1"/>
    <col min="15883" max="15883" width="26" style="18" customWidth="1"/>
    <col min="15884" max="15884" width="8.86328125" style="18"/>
    <col min="15885" max="15885" width="9" style="18" customWidth="1"/>
    <col min="15886" max="16132" width="8.86328125" style="18"/>
    <col min="16133" max="16133" width="9.86328125" style="18" customWidth="1"/>
    <col min="16134" max="16134" width="2" style="18" customWidth="1"/>
    <col min="16135" max="16135" width="12.53125" style="18" customWidth="1"/>
    <col min="16136" max="16136" width="1.86328125" style="18" customWidth="1"/>
    <col min="16137" max="16137" width="2" style="18" customWidth="1"/>
    <col min="16138" max="16138" width="16" style="18" customWidth="1"/>
    <col min="16139" max="16139" width="26" style="18" customWidth="1"/>
    <col min="16140" max="16140" width="8.86328125" style="18"/>
    <col min="16141" max="16141" width="9" style="18" customWidth="1"/>
    <col min="16142" max="16384" width="8.86328125" style="18"/>
  </cols>
  <sheetData>
    <row r="1" spans="1:15" ht="17.25">
      <c r="D1" s="866" t="str">
        <f>UPPER(opd_lok)</f>
        <v>PROVINSI NUSA TENGGARA BARAT</v>
      </c>
      <c r="E1" s="866"/>
      <c r="F1" s="866"/>
      <c r="G1" s="866"/>
      <c r="H1" s="866"/>
      <c r="I1" s="866"/>
      <c r="J1" s="866"/>
      <c r="K1" s="866"/>
      <c r="L1" s="866"/>
      <c r="M1" s="866"/>
    </row>
    <row r="2" spans="1:15" ht="47.1" customHeight="1">
      <c r="D2" s="918" t="str">
        <f>UPPER(opd_nama)</f>
        <v>BADAN PENGELOLAAN KEUANGAN DAN ASET DAERAH</v>
      </c>
      <c r="E2" s="918"/>
      <c r="F2" s="918"/>
      <c r="G2" s="918"/>
      <c r="H2" s="918"/>
      <c r="I2" s="918"/>
      <c r="J2" s="918"/>
      <c r="K2" s="918"/>
      <c r="L2" s="918"/>
      <c r="M2" s="918"/>
    </row>
    <row r="3" spans="1:15" ht="17.850000000000001" customHeight="1">
      <c r="A3" s="24"/>
      <c r="B3" s="24"/>
      <c r="C3" s="24"/>
      <c r="D3" s="868" t="str">
        <f>opd_almt</f>
        <v>Jalan Pejanggik Nomor 14 Telp.( 0370 ) 627689, 625345 Fax: 627677</v>
      </c>
      <c r="E3" s="868"/>
      <c r="F3" s="868"/>
      <c r="G3" s="868"/>
      <c r="H3" s="868"/>
      <c r="I3" s="868"/>
      <c r="J3" s="868"/>
      <c r="K3" s="868"/>
      <c r="L3" s="868"/>
      <c r="M3" s="868"/>
    </row>
    <row r="4" spans="1:15" ht="5.25" customHeight="1"/>
    <row r="5" spans="1:15" ht="18">
      <c r="A5" s="899" t="s">
        <v>331</v>
      </c>
      <c r="B5" s="899"/>
      <c r="C5" s="899"/>
      <c r="D5" s="899"/>
      <c r="E5" s="899"/>
      <c r="F5" s="899"/>
      <c r="G5" s="899"/>
      <c r="H5" s="899"/>
      <c r="I5" s="899"/>
      <c r="J5" s="899"/>
      <c r="K5" s="899"/>
      <c r="L5" s="899"/>
      <c r="M5" s="899"/>
      <c r="O5" s="71" t="s">
        <v>253</v>
      </c>
    </row>
    <row r="6" spans="1:15" ht="15" customHeight="1">
      <c r="A6" s="182"/>
      <c r="B6" s="182"/>
      <c r="C6" s="182"/>
      <c r="D6" s="182"/>
      <c r="E6" s="182"/>
      <c r="F6" s="182"/>
      <c r="G6" s="182"/>
      <c r="H6" s="182"/>
      <c r="I6" s="182"/>
      <c r="J6" s="182"/>
      <c r="K6" s="182"/>
      <c r="L6" s="182"/>
      <c r="M6" s="182"/>
    </row>
    <row r="7" spans="1:15" ht="15" customHeight="1">
      <c r="A7" s="60" t="s">
        <v>294</v>
      </c>
      <c r="B7" s="60"/>
      <c r="C7" s="60" t="s">
        <v>2</v>
      </c>
      <c r="D7" s="60" t="str">
        <f>opd_nama</f>
        <v>Badan Pengelolaan Keuangan dan Aset Daerah</v>
      </c>
      <c r="E7" s="60"/>
      <c r="F7" s="60"/>
      <c r="G7" s="60"/>
      <c r="H7" s="60"/>
      <c r="I7" s="60"/>
      <c r="J7" s="60"/>
      <c r="K7" s="60"/>
      <c r="L7" s="60"/>
      <c r="M7" s="60"/>
    </row>
    <row r="8" spans="1:15" ht="15" customHeight="1">
      <c r="A8" s="37" t="s">
        <v>57</v>
      </c>
      <c r="B8" s="37"/>
      <c r="C8" s="37" t="s">
        <v>2</v>
      </c>
      <c r="D8" s="796" t="str">
        <f>ppk_jab</f>
        <v>Pejabat Pembuat Komitmen</v>
      </c>
      <c r="E8" s="37"/>
      <c r="F8" s="37"/>
      <c r="G8" s="37"/>
      <c r="H8" s="37"/>
      <c r="I8" s="37"/>
      <c r="J8" s="37"/>
      <c r="K8" s="37"/>
      <c r="L8" s="37"/>
      <c r="M8" s="37"/>
    </row>
    <row r="9" spans="1:15" ht="15" customHeight="1">
      <c r="A9" s="37" t="s">
        <v>295</v>
      </c>
      <c r="C9" s="18" t="s">
        <v>2</v>
      </c>
      <c r="D9" s="37" t="str">
        <f>paket</f>
        <v>Belanja Pemeliharaan Bangunan Gedung-Bangunan Gedung Tempat Kerja-Bangunan Gedung Kantor-Pemeliharaan Gedung Bertingkat</v>
      </c>
    </row>
    <row r="10" spans="1:15" ht="15" customHeight="1">
      <c r="A10" s="37" t="s">
        <v>14</v>
      </c>
      <c r="B10" s="64"/>
      <c r="C10" s="64" t="s">
        <v>2</v>
      </c>
      <c r="D10" s="64" t="str">
        <f>lokasi</f>
        <v>Mataram</v>
      </c>
      <c r="E10" s="64"/>
      <c r="F10" s="64"/>
      <c r="G10" s="64"/>
      <c r="H10" s="64"/>
      <c r="I10" s="64"/>
      <c r="J10" s="64"/>
      <c r="K10" s="64"/>
      <c r="L10" s="64"/>
      <c r="M10" s="64"/>
    </row>
    <row r="11" spans="1:15" ht="15" customHeight="1">
      <c r="A11" s="37" t="s">
        <v>296</v>
      </c>
      <c r="B11" s="64"/>
      <c r="C11" s="64" t="s">
        <v>2</v>
      </c>
      <c r="D11" s="612" t="str">
        <f>tahun</f>
        <v>2025</v>
      </c>
      <c r="E11" s="64"/>
      <c r="F11" s="64"/>
      <c r="G11" s="64"/>
      <c r="H11" s="64"/>
      <c r="I11" s="64"/>
      <c r="J11" s="64"/>
      <c r="K11" s="64"/>
      <c r="L11" s="64"/>
      <c r="M11" s="64"/>
    </row>
    <row r="12" spans="1:15" ht="15" customHeight="1">
      <c r="A12" s="37" t="s">
        <v>297</v>
      </c>
      <c r="B12" s="64"/>
      <c r="C12" s="64"/>
      <c r="D12" s="64"/>
      <c r="E12" s="64"/>
      <c r="F12" s="64"/>
      <c r="G12" s="64"/>
      <c r="H12" s="64"/>
      <c r="I12" s="64"/>
      <c r="J12" s="64"/>
      <c r="K12" s="64"/>
      <c r="L12" s="64"/>
      <c r="M12" s="64"/>
    </row>
    <row r="13" spans="1:15" ht="5.25" customHeight="1">
      <c r="A13" s="64"/>
      <c r="B13" s="64"/>
      <c r="C13" s="64"/>
      <c r="D13" s="64"/>
      <c r="E13" s="64"/>
      <c r="F13" s="64"/>
      <c r="G13" s="64"/>
      <c r="H13" s="64"/>
      <c r="I13" s="64"/>
      <c r="J13" s="64"/>
      <c r="K13" s="64"/>
      <c r="L13" s="64"/>
      <c r="M13" s="64"/>
    </row>
    <row r="14" spans="1:15" s="56" customFormat="1">
      <c r="A14" s="613" t="s">
        <v>258</v>
      </c>
      <c r="B14" s="900" t="s">
        <v>298</v>
      </c>
      <c r="C14" s="901"/>
      <c r="D14" s="901"/>
      <c r="E14" s="902"/>
      <c r="F14" s="613" t="s">
        <v>332</v>
      </c>
      <c r="G14" s="613" t="s">
        <v>333</v>
      </c>
      <c r="H14" s="919" t="s">
        <v>334</v>
      </c>
      <c r="I14" s="920"/>
      <c r="J14" s="920"/>
      <c r="K14" s="920"/>
      <c r="L14" s="921"/>
      <c r="M14" s="929" t="s">
        <v>335</v>
      </c>
      <c r="N14" s="37"/>
    </row>
    <row r="15" spans="1:15" s="56" customFormat="1">
      <c r="A15" s="76"/>
      <c r="B15" s="77"/>
      <c r="C15" s="78"/>
      <c r="D15" s="78"/>
      <c r="E15" s="79"/>
      <c r="F15" s="76"/>
      <c r="G15" s="76"/>
      <c r="H15" s="76" t="s">
        <v>336</v>
      </c>
      <c r="I15" s="613" t="s">
        <v>337</v>
      </c>
      <c r="J15" s="613" t="s">
        <v>338</v>
      </c>
      <c r="K15" s="613" t="s">
        <v>339</v>
      </c>
      <c r="L15" s="81" t="s">
        <v>24</v>
      </c>
      <c r="M15" s="930"/>
      <c r="N15" s="37"/>
    </row>
    <row r="16" spans="1:15" s="56" customFormat="1" ht="15" customHeight="1">
      <c r="A16" s="615"/>
      <c r="B16" s="925"/>
      <c r="C16" s="926"/>
      <c r="D16" s="926"/>
      <c r="E16" s="927"/>
      <c r="F16" s="616"/>
      <c r="G16" s="615"/>
      <c r="H16" s="657"/>
      <c r="I16" s="657"/>
      <c r="J16" s="657"/>
      <c r="K16" s="657"/>
      <c r="L16" s="616"/>
      <c r="M16" s="616"/>
      <c r="N16" s="44"/>
    </row>
    <row r="17" spans="1:14" s="56" customFormat="1" ht="14.45" customHeight="1">
      <c r="A17" s="617" t="s">
        <v>340</v>
      </c>
      <c r="B17" s="922" t="s">
        <v>341</v>
      </c>
      <c r="C17" s="923"/>
      <c r="D17" s="923"/>
      <c r="E17" s="924"/>
      <c r="F17" s="621"/>
      <c r="G17" s="622"/>
      <c r="H17" s="658"/>
      <c r="I17" s="658"/>
      <c r="J17" s="658"/>
      <c r="K17" s="658"/>
      <c r="L17" s="667"/>
      <c r="M17" s="667">
        <f>SUM(M19:M26)</f>
        <v>72356636.363636374</v>
      </c>
      <c r="N17" s="37"/>
    </row>
    <row r="18" spans="1:14" s="56" customFormat="1" ht="15" customHeight="1">
      <c r="A18" s="617" t="s">
        <v>270</v>
      </c>
      <c r="B18" s="922" t="s">
        <v>342</v>
      </c>
      <c r="C18" s="923"/>
      <c r="D18" s="923"/>
      <c r="E18" s="924"/>
      <c r="F18" s="627"/>
      <c r="G18" s="628"/>
      <c r="H18" s="640"/>
      <c r="I18" s="640"/>
      <c r="J18" s="640"/>
      <c r="K18" s="640"/>
      <c r="L18" s="668"/>
      <c r="M18" s="668"/>
      <c r="N18" s="37"/>
    </row>
    <row r="19" spans="1:14" s="56" customFormat="1" ht="15" customHeight="1">
      <c r="A19" s="617"/>
      <c r="B19" s="911" t="s">
        <v>343</v>
      </c>
      <c r="C19" s="912"/>
      <c r="D19" s="912"/>
      <c r="E19" s="913"/>
      <c r="F19" s="631" t="s">
        <v>344</v>
      </c>
      <c r="G19" s="632">
        <v>6</v>
      </c>
      <c r="H19" s="639">
        <v>1375000</v>
      </c>
      <c r="I19" s="639">
        <f>0.89*10100000</f>
        <v>8989000</v>
      </c>
      <c r="J19" s="639">
        <f>63550000/22*0.949</f>
        <v>2741315.9090909092</v>
      </c>
      <c r="K19" s="639">
        <f>49000000/22</f>
        <v>2227272.7272727271</v>
      </c>
      <c r="L19" s="669">
        <v>2227272.7272727299</v>
      </c>
      <c r="M19" s="668">
        <f>L19*G19</f>
        <v>13363636.363636378</v>
      </c>
      <c r="N19" s="37"/>
    </row>
    <row r="20" spans="1:14" s="56" customFormat="1" ht="15" customHeight="1">
      <c r="A20" s="617"/>
      <c r="B20" s="911" t="s">
        <v>345</v>
      </c>
      <c r="C20" s="912"/>
      <c r="D20" s="912"/>
      <c r="E20" s="913"/>
      <c r="F20" s="631" t="s">
        <v>344</v>
      </c>
      <c r="G20" s="632">
        <v>7</v>
      </c>
      <c r="H20" s="639">
        <v>1375000</v>
      </c>
      <c r="I20" s="639">
        <f>0.89*2100000</f>
        <v>1869000</v>
      </c>
      <c r="J20" s="639">
        <f>37000000/22*0.949</f>
        <v>1596045.4545454546</v>
      </c>
      <c r="K20" s="639">
        <f>24000000/25</f>
        <v>960000</v>
      </c>
      <c r="L20" s="669">
        <v>1869000</v>
      </c>
      <c r="M20" s="668">
        <f t="shared" ref="M20:M43" si="0">L20*G20</f>
        <v>13083000</v>
      </c>
      <c r="N20" s="37"/>
    </row>
    <row r="21" spans="1:14" s="56" customFormat="1" ht="15" customHeight="1">
      <c r="A21" s="617"/>
      <c r="B21" s="911" t="s">
        <v>346</v>
      </c>
      <c r="C21" s="912"/>
      <c r="D21" s="912"/>
      <c r="E21" s="913"/>
      <c r="F21" s="631" t="s">
        <v>344</v>
      </c>
      <c r="G21" s="632">
        <v>10</v>
      </c>
      <c r="H21" s="639">
        <v>909750</v>
      </c>
      <c r="I21" s="639">
        <f>0.89*1100000</f>
        <v>979000</v>
      </c>
      <c r="J21" s="639">
        <f>33750000/22*0.949</f>
        <v>1455852.2727272727</v>
      </c>
      <c r="K21" s="639">
        <f>21500000/25</f>
        <v>860000</v>
      </c>
      <c r="L21" s="669">
        <v>979000</v>
      </c>
      <c r="M21" s="668">
        <f t="shared" si="0"/>
        <v>9790000</v>
      </c>
      <c r="N21" s="37"/>
    </row>
    <row r="22" spans="1:14" s="56" customFormat="1" ht="15" customHeight="1">
      <c r="A22" s="617" t="s">
        <v>285</v>
      </c>
      <c r="B22" s="922" t="s">
        <v>347</v>
      </c>
      <c r="C22" s="923"/>
      <c r="D22" s="923"/>
      <c r="E22" s="924"/>
      <c r="F22" s="627"/>
      <c r="G22" s="628"/>
      <c r="H22" s="640"/>
      <c r="I22" s="640"/>
      <c r="J22" s="640"/>
      <c r="K22" s="640"/>
      <c r="L22" s="668"/>
      <c r="M22" s="668"/>
      <c r="N22" s="37"/>
    </row>
    <row r="23" spans="1:14" s="56" customFormat="1" ht="15" customHeight="1">
      <c r="A23" s="617"/>
      <c r="B23" s="659" t="s">
        <v>348</v>
      </c>
      <c r="C23" s="626"/>
      <c r="D23" s="626"/>
      <c r="E23" s="630"/>
      <c r="F23" s="631" t="s">
        <v>344</v>
      </c>
      <c r="G23" s="632">
        <v>40</v>
      </c>
      <c r="H23" s="639">
        <v>770000</v>
      </c>
      <c r="I23" s="661">
        <f>0.89*830000</f>
        <v>738700</v>
      </c>
      <c r="J23" s="661">
        <f>13000000/22*0.949</f>
        <v>560772.72727272729</v>
      </c>
      <c r="K23" s="661">
        <v>560000</v>
      </c>
      <c r="L23" s="670">
        <v>560000</v>
      </c>
      <c r="M23" s="668">
        <f t="shared" si="0"/>
        <v>22400000</v>
      </c>
      <c r="N23" s="37"/>
    </row>
    <row r="24" spans="1:14" s="56" customFormat="1" ht="15" customHeight="1">
      <c r="A24" s="617"/>
      <c r="B24" s="911" t="s">
        <v>349</v>
      </c>
      <c r="C24" s="912"/>
      <c r="D24" s="912"/>
      <c r="E24" s="913"/>
      <c r="F24" s="631" t="s">
        <v>344</v>
      </c>
      <c r="G24" s="632">
        <v>7</v>
      </c>
      <c r="H24" s="639">
        <v>770000</v>
      </c>
      <c r="I24" s="639">
        <f>0.89*940000</f>
        <v>836600</v>
      </c>
      <c r="J24" s="639">
        <f>12600000/22*0.949</f>
        <v>543518.18181818177</v>
      </c>
      <c r="K24" s="639">
        <v>680000</v>
      </c>
      <c r="L24" s="670">
        <v>680000</v>
      </c>
      <c r="M24" s="668">
        <f t="shared" si="0"/>
        <v>4760000</v>
      </c>
      <c r="N24" s="37"/>
    </row>
    <row r="25" spans="1:14" s="56" customFormat="1" ht="15" customHeight="1">
      <c r="A25" s="617"/>
      <c r="B25" s="659" t="s">
        <v>350</v>
      </c>
      <c r="C25" s="626"/>
      <c r="D25" s="626"/>
      <c r="E25" s="630"/>
      <c r="F25" s="631" t="s">
        <v>344</v>
      </c>
      <c r="G25" s="632">
        <v>7</v>
      </c>
      <c r="H25" s="639"/>
      <c r="I25" s="639">
        <f>0.89*760000</f>
        <v>676400</v>
      </c>
      <c r="J25" s="639">
        <f>7900000/22*0.949</f>
        <v>340777.27272727276</v>
      </c>
      <c r="K25" s="639">
        <v>680000</v>
      </c>
      <c r="L25" s="670">
        <v>680000</v>
      </c>
      <c r="M25" s="668">
        <f t="shared" si="0"/>
        <v>4760000</v>
      </c>
      <c r="N25" s="37"/>
    </row>
    <row r="26" spans="1:14" s="56" customFormat="1" ht="15" customHeight="1">
      <c r="A26" s="617"/>
      <c r="B26" s="911" t="s">
        <v>351</v>
      </c>
      <c r="C26" s="912"/>
      <c r="D26" s="912"/>
      <c r="E26" s="913"/>
      <c r="F26" s="631" t="s">
        <v>344</v>
      </c>
      <c r="G26" s="632">
        <v>6</v>
      </c>
      <c r="H26" s="639"/>
      <c r="I26" s="639">
        <f>0.89*760000</f>
        <v>676400</v>
      </c>
      <c r="J26" s="639">
        <f>13700000/22*0.949</f>
        <v>590968.18181818177</v>
      </c>
      <c r="K26" s="639">
        <v>700000</v>
      </c>
      <c r="L26" s="670">
        <v>700000</v>
      </c>
      <c r="M26" s="668">
        <f t="shared" si="0"/>
        <v>4200000</v>
      </c>
      <c r="N26" s="37"/>
    </row>
    <row r="27" spans="1:14" s="56" customFormat="1" ht="15" customHeight="1">
      <c r="A27" s="617"/>
      <c r="B27" s="659"/>
      <c r="C27" s="626"/>
      <c r="D27" s="626"/>
      <c r="E27" s="630"/>
      <c r="F27" s="631"/>
      <c r="G27" s="660"/>
      <c r="H27" s="661"/>
      <c r="I27" s="661"/>
      <c r="J27" s="661"/>
      <c r="K27" s="661"/>
      <c r="L27" s="671"/>
      <c r="M27" s="668"/>
      <c r="N27" s="37"/>
    </row>
    <row r="28" spans="1:14" s="56" customFormat="1" ht="15" customHeight="1">
      <c r="A28" s="617" t="s">
        <v>352</v>
      </c>
      <c r="B28" s="922" t="s">
        <v>353</v>
      </c>
      <c r="C28" s="923"/>
      <c r="D28" s="923"/>
      <c r="E28" s="924"/>
      <c r="F28" s="631"/>
      <c r="G28" s="628"/>
      <c r="H28" s="640"/>
      <c r="I28" s="640"/>
      <c r="J28" s="640"/>
      <c r="K28" s="640"/>
      <c r="L28" s="668"/>
      <c r="M28" s="667">
        <f>SUM(M30:M43)</f>
        <v>15730000</v>
      </c>
      <c r="N28" s="37"/>
    </row>
    <row r="29" spans="1:14" s="56" customFormat="1" ht="15" customHeight="1">
      <c r="A29" s="617" t="s">
        <v>270</v>
      </c>
      <c r="B29" s="922" t="s">
        <v>354</v>
      </c>
      <c r="C29" s="923"/>
      <c r="D29" s="923"/>
      <c r="E29" s="924"/>
      <c r="F29" s="627"/>
      <c r="G29" s="628"/>
      <c r="H29" s="640"/>
      <c r="I29" s="640"/>
      <c r="J29" s="640"/>
      <c r="K29" s="640"/>
      <c r="L29" s="668"/>
      <c r="M29" s="668"/>
      <c r="N29" s="37"/>
    </row>
    <row r="30" spans="1:14" s="56" customFormat="1" ht="15" customHeight="1">
      <c r="A30" s="617"/>
      <c r="B30" s="911" t="s">
        <v>355</v>
      </c>
      <c r="C30" s="912"/>
      <c r="D30" s="912"/>
      <c r="E30" s="913"/>
      <c r="F30" s="631" t="s">
        <v>356</v>
      </c>
      <c r="G30" s="632"/>
      <c r="H30" s="639">
        <v>1100000</v>
      </c>
      <c r="I30" s="639"/>
      <c r="J30" s="639"/>
      <c r="K30" s="639"/>
      <c r="L30" s="670"/>
      <c r="M30" s="668">
        <f t="shared" si="0"/>
        <v>0</v>
      </c>
      <c r="N30" s="37"/>
    </row>
    <row r="31" spans="1:14" s="56" customFormat="1" ht="15" customHeight="1">
      <c r="A31" s="617"/>
      <c r="B31" s="911" t="s">
        <v>357</v>
      </c>
      <c r="C31" s="912"/>
      <c r="D31" s="912"/>
      <c r="E31" s="913"/>
      <c r="F31" s="631" t="s">
        <v>356</v>
      </c>
      <c r="G31" s="632"/>
      <c r="H31" s="639">
        <v>550000</v>
      </c>
      <c r="I31" s="639"/>
      <c r="J31" s="639"/>
      <c r="K31" s="639"/>
      <c r="L31" s="670"/>
      <c r="M31" s="668">
        <f t="shared" si="0"/>
        <v>0</v>
      </c>
      <c r="N31" s="37"/>
    </row>
    <row r="32" spans="1:14" s="56" customFormat="1" ht="15" customHeight="1">
      <c r="A32" s="617"/>
      <c r="B32" s="911" t="s">
        <v>358</v>
      </c>
      <c r="C32" s="912"/>
      <c r="D32" s="912"/>
      <c r="E32" s="913"/>
      <c r="F32" s="631" t="s">
        <v>359</v>
      </c>
      <c r="G32" s="632">
        <v>10</v>
      </c>
      <c r="H32" s="639">
        <v>550000</v>
      </c>
      <c r="I32" s="639"/>
      <c r="J32" s="639"/>
      <c r="K32" s="639">
        <v>1000000</v>
      </c>
      <c r="L32" s="670">
        <v>550000</v>
      </c>
      <c r="M32" s="668">
        <f t="shared" si="0"/>
        <v>5500000</v>
      </c>
      <c r="N32" s="37"/>
    </row>
    <row r="33" spans="1:15" s="56" customFormat="1" ht="15" customHeight="1">
      <c r="A33" s="617"/>
      <c r="B33" s="911" t="s">
        <v>360</v>
      </c>
      <c r="C33" s="912"/>
      <c r="D33" s="912"/>
      <c r="E33" s="913"/>
      <c r="F33" s="631" t="s">
        <v>356</v>
      </c>
      <c r="G33" s="632">
        <v>1</v>
      </c>
      <c r="H33" s="639">
        <v>440000</v>
      </c>
      <c r="I33" s="639"/>
      <c r="J33" s="639"/>
      <c r="K33" s="639">
        <v>500000</v>
      </c>
      <c r="L33" s="670">
        <v>1760000</v>
      </c>
      <c r="M33" s="668">
        <f t="shared" si="0"/>
        <v>1760000</v>
      </c>
      <c r="N33" s="37"/>
    </row>
    <row r="34" spans="1:15" s="56" customFormat="1" ht="15" customHeight="1">
      <c r="A34" s="617" t="s">
        <v>285</v>
      </c>
      <c r="B34" s="922" t="s">
        <v>361</v>
      </c>
      <c r="C34" s="923"/>
      <c r="D34" s="923"/>
      <c r="E34" s="924"/>
      <c r="F34" s="627"/>
      <c r="G34" s="628"/>
      <c r="H34" s="640"/>
      <c r="I34" s="640"/>
      <c r="J34" s="640"/>
      <c r="K34" s="640"/>
      <c r="L34" s="668"/>
      <c r="M34" s="668"/>
      <c r="N34" s="37"/>
    </row>
    <row r="35" spans="1:15" s="56" customFormat="1" ht="15" customHeight="1">
      <c r="A35" s="617"/>
      <c r="B35" s="911" t="s">
        <v>362</v>
      </c>
      <c r="C35" s="912"/>
      <c r="D35" s="912"/>
      <c r="E35" s="913"/>
      <c r="F35" s="631" t="s">
        <v>363</v>
      </c>
      <c r="G35" s="632">
        <v>3</v>
      </c>
      <c r="H35" s="639">
        <v>825000</v>
      </c>
      <c r="I35" s="639"/>
      <c r="J35" s="639"/>
      <c r="K35" s="639">
        <v>750000</v>
      </c>
      <c r="L35" s="670">
        <v>825000</v>
      </c>
      <c r="M35" s="668">
        <f t="shared" si="0"/>
        <v>2475000</v>
      </c>
      <c r="N35" s="37"/>
    </row>
    <row r="36" spans="1:15" s="56" customFormat="1" ht="15" customHeight="1">
      <c r="A36" s="617"/>
      <c r="B36" s="641" t="s">
        <v>364</v>
      </c>
      <c r="C36" s="626"/>
      <c r="D36" s="626"/>
      <c r="E36" s="630"/>
      <c r="F36" s="631" t="s">
        <v>365</v>
      </c>
      <c r="G36" s="632">
        <v>4</v>
      </c>
      <c r="H36" s="639">
        <v>330000</v>
      </c>
      <c r="I36" s="639"/>
      <c r="J36" s="639"/>
      <c r="K36" s="639">
        <v>300000</v>
      </c>
      <c r="L36" s="670">
        <v>330000</v>
      </c>
      <c r="M36" s="668">
        <f t="shared" si="0"/>
        <v>1320000</v>
      </c>
      <c r="N36" s="37"/>
    </row>
    <row r="37" spans="1:15" s="56" customFormat="1" ht="15" customHeight="1">
      <c r="A37" s="617"/>
      <c r="B37" s="641" t="s">
        <v>366</v>
      </c>
      <c r="C37" s="626"/>
      <c r="D37" s="626"/>
      <c r="E37" s="630"/>
      <c r="F37" s="631" t="s">
        <v>356</v>
      </c>
      <c r="G37" s="632">
        <v>1</v>
      </c>
      <c r="H37" s="639">
        <v>1100000</v>
      </c>
      <c r="I37" s="639"/>
      <c r="J37" s="639"/>
      <c r="K37" s="639">
        <v>2000000</v>
      </c>
      <c r="L37" s="670">
        <v>1100000</v>
      </c>
      <c r="M37" s="668">
        <f t="shared" si="0"/>
        <v>1100000</v>
      </c>
      <c r="N37" s="37"/>
    </row>
    <row r="38" spans="1:15" s="56" customFormat="1" ht="15" customHeight="1">
      <c r="A38" s="617" t="s">
        <v>288</v>
      </c>
      <c r="B38" s="642" t="s">
        <v>367</v>
      </c>
      <c r="C38" s="626"/>
      <c r="D38" s="626"/>
      <c r="E38" s="630"/>
      <c r="F38" s="627"/>
      <c r="G38" s="628"/>
      <c r="H38" s="640"/>
      <c r="I38" s="640"/>
      <c r="J38" s="640"/>
      <c r="K38" s="640"/>
      <c r="L38" s="668"/>
      <c r="M38" s="668"/>
      <c r="N38" s="37"/>
    </row>
    <row r="39" spans="1:15" s="56" customFormat="1" ht="15" customHeight="1">
      <c r="A39" s="624"/>
      <c r="B39" s="641" t="s">
        <v>368</v>
      </c>
      <c r="C39" s="626"/>
      <c r="D39" s="626"/>
      <c r="E39" s="630"/>
      <c r="F39" s="631" t="s">
        <v>369</v>
      </c>
      <c r="G39" s="632">
        <v>3</v>
      </c>
      <c r="H39" s="639">
        <v>55000</v>
      </c>
      <c r="I39" s="639"/>
      <c r="J39" s="639"/>
      <c r="K39" s="639">
        <v>67000</v>
      </c>
      <c r="L39" s="670">
        <v>55000</v>
      </c>
      <c r="M39" s="668">
        <f t="shared" si="0"/>
        <v>165000</v>
      </c>
      <c r="N39" s="37"/>
    </row>
    <row r="40" spans="1:15" s="56" customFormat="1" ht="15" customHeight="1">
      <c r="A40" s="624"/>
      <c r="B40" s="641" t="s">
        <v>370</v>
      </c>
      <c r="C40" s="626"/>
      <c r="D40" s="626"/>
      <c r="E40" s="630"/>
      <c r="F40" s="631" t="s">
        <v>369</v>
      </c>
      <c r="G40" s="632"/>
      <c r="H40" s="639">
        <v>82500</v>
      </c>
      <c r="I40" s="639"/>
      <c r="J40" s="639"/>
      <c r="K40" s="639"/>
      <c r="L40" s="670">
        <f t="shared" ref="L40" si="1">K40</f>
        <v>0</v>
      </c>
      <c r="M40" s="668">
        <f t="shared" si="0"/>
        <v>0</v>
      </c>
      <c r="N40" s="37"/>
    </row>
    <row r="41" spans="1:15" s="56" customFormat="1" ht="15" customHeight="1">
      <c r="A41" s="624"/>
      <c r="B41" s="641" t="s">
        <v>371</v>
      </c>
      <c r="C41" s="626"/>
      <c r="D41" s="626"/>
      <c r="E41" s="630"/>
      <c r="F41" s="631" t="s">
        <v>369</v>
      </c>
      <c r="G41" s="632">
        <v>10</v>
      </c>
      <c r="H41" s="639">
        <v>220000</v>
      </c>
      <c r="I41" s="639"/>
      <c r="J41" s="639"/>
      <c r="K41" s="639">
        <v>265000</v>
      </c>
      <c r="L41" s="670">
        <v>220000</v>
      </c>
      <c r="M41" s="668">
        <f t="shared" si="0"/>
        <v>2200000</v>
      </c>
      <c r="N41" s="37"/>
    </row>
    <row r="42" spans="1:15" s="56" customFormat="1" ht="15" customHeight="1">
      <c r="A42" s="624"/>
      <c r="B42" s="641" t="s">
        <v>372</v>
      </c>
      <c r="C42" s="626"/>
      <c r="D42" s="626"/>
      <c r="E42" s="630"/>
      <c r="F42" s="631" t="s">
        <v>373</v>
      </c>
      <c r="G42" s="632">
        <v>1</v>
      </c>
      <c r="H42" s="639">
        <v>660000</v>
      </c>
      <c r="I42" s="639"/>
      <c r="J42" s="639"/>
      <c r="K42" s="639">
        <v>600000</v>
      </c>
      <c r="L42" s="670">
        <v>660000</v>
      </c>
      <c r="M42" s="668">
        <f t="shared" si="0"/>
        <v>660000</v>
      </c>
      <c r="N42" s="37"/>
    </row>
    <row r="43" spans="1:15" s="56" customFormat="1" ht="15" customHeight="1">
      <c r="A43" s="624"/>
      <c r="B43" s="641" t="s">
        <v>374</v>
      </c>
      <c r="C43" s="626"/>
      <c r="D43" s="626"/>
      <c r="E43" s="630"/>
      <c r="F43" s="631" t="s">
        <v>375</v>
      </c>
      <c r="G43" s="632">
        <v>1</v>
      </c>
      <c r="H43" s="639">
        <v>550000</v>
      </c>
      <c r="I43" s="639"/>
      <c r="J43" s="639"/>
      <c r="K43" s="639">
        <v>1000000</v>
      </c>
      <c r="L43" s="670">
        <v>550000</v>
      </c>
      <c r="M43" s="668">
        <f t="shared" si="0"/>
        <v>550000</v>
      </c>
      <c r="N43" s="37"/>
    </row>
    <row r="44" spans="1:15" s="56" customFormat="1" ht="15" hidden="1" customHeight="1">
      <c r="A44" s="624" t="str">
        <f t="shared" ref="A44" si="2">IF(AND(A43&lt;&gt;0,B44&lt;&gt;0),A43+1,"")</f>
        <v/>
      </c>
      <c r="B44" s="914"/>
      <c r="C44" s="915"/>
      <c r="D44" s="915"/>
      <c r="E44" s="916"/>
      <c r="F44" s="627"/>
      <c r="G44" s="628"/>
      <c r="H44" s="640"/>
      <c r="I44" s="640"/>
      <c r="J44" s="640"/>
      <c r="K44" s="640"/>
      <c r="L44" s="668"/>
      <c r="M44" s="668">
        <f t="shared" ref="M44" si="3">G44*L44</f>
        <v>0</v>
      </c>
      <c r="N44" s="37"/>
    </row>
    <row r="45" spans="1:15" s="56" customFormat="1" ht="15" hidden="1" customHeight="1">
      <c r="A45" s="617"/>
      <c r="B45" s="931"/>
      <c r="C45" s="932"/>
      <c r="D45" s="932"/>
      <c r="E45" s="933"/>
      <c r="F45" s="662"/>
      <c r="G45" s="663"/>
      <c r="H45" s="664"/>
      <c r="I45" s="664"/>
      <c r="J45" s="664"/>
      <c r="K45" s="664"/>
      <c r="L45" s="672"/>
      <c r="M45" s="672"/>
      <c r="N45" s="37"/>
    </row>
    <row r="46" spans="1:15" s="56" customFormat="1" ht="15" hidden="1" customHeight="1">
      <c r="A46" s="654"/>
      <c r="B46" s="903"/>
      <c r="C46" s="904"/>
      <c r="D46" s="904"/>
      <c r="E46" s="904"/>
      <c r="F46" s="92"/>
      <c r="G46" s="93"/>
      <c r="H46" s="93"/>
      <c r="I46" s="93"/>
      <c r="J46" s="93"/>
      <c r="K46" s="93"/>
      <c r="L46" s="651" t="s">
        <v>376</v>
      </c>
      <c r="M46" s="95">
        <f>M17+M28</f>
        <v>88086636.363636374</v>
      </c>
      <c r="N46" s="37"/>
      <c r="O46" s="112" t="str">
        <f>IF(M46=hps,"sesuai","cek hps")</f>
        <v>cek hps</v>
      </c>
    </row>
    <row r="47" spans="1:15" s="56" customFormat="1" ht="15" hidden="1" customHeight="1">
      <c r="A47" s="37" t="s">
        <v>377</v>
      </c>
      <c r="B47" s="64"/>
      <c r="C47" s="64" t="s">
        <v>2</v>
      </c>
      <c r="D47" s="928"/>
      <c r="E47" s="928"/>
      <c r="F47" s="928"/>
      <c r="G47" s="928"/>
      <c r="H47" s="928"/>
      <c r="I47" s="928"/>
      <c r="J47" s="928"/>
      <c r="K47" s="928"/>
      <c r="L47" s="928"/>
      <c r="M47" s="928"/>
      <c r="N47" s="37"/>
    </row>
    <row r="48" spans="1:15" s="56" customFormat="1" ht="5.25" hidden="1" customHeight="1">
      <c r="A48" s="37"/>
      <c r="B48" s="64"/>
      <c r="C48" s="64"/>
      <c r="D48" s="64"/>
      <c r="E48" s="64"/>
      <c r="F48" s="44"/>
      <c r="G48" s="73"/>
      <c r="H48" s="73"/>
      <c r="I48" s="73"/>
      <c r="J48" s="73"/>
      <c r="K48" s="73"/>
      <c r="L48" s="74"/>
      <c r="M48" s="74"/>
      <c r="N48" s="37"/>
    </row>
    <row r="49" spans="1:17" ht="15" hidden="1" customHeight="1">
      <c r="A49" s="37" t="s">
        <v>378</v>
      </c>
      <c r="B49" s="37"/>
      <c r="C49" s="38"/>
      <c r="D49" s="38"/>
      <c r="E49" s="37"/>
      <c r="F49" s="37"/>
      <c r="G49" s="37"/>
      <c r="H49" s="37"/>
      <c r="I49" s="37"/>
      <c r="J49" s="37"/>
      <c r="K49" s="37"/>
      <c r="L49" s="37"/>
      <c r="M49" s="37"/>
    </row>
    <row r="50" spans="1:17" ht="5.25" customHeight="1">
      <c r="A50" s="665"/>
      <c r="B50" s="665"/>
      <c r="C50" s="666"/>
      <c r="D50" s="666"/>
      <c r="E50" s="665"/>
      <c r="F50" s="665"/>
      <c r="G50" s="665"/>
      <c r="H50" s="665"/>
      <c r="I50" s="665"/>
      <c r="J50" s="665"/>
      <c r="K50" s="665"/>
      <c r="L50" s="665"/>
      <c r="M50" s="665"/>
    </row>
    <row r="51" spans="1:17" ht="15" customHeight="1">
      <c r="C51" s="43"/>
      <c r="D51" s="43"/>
      <c r="E51" s="43"/>
      <c r="F51" s="43"/>
      <c r="G51" s="43"/>
      <c r="H51" s="43"/>
      <c r="K51" s="54" t="str">
        <f>Input!D35&amp;", "&amp;Input!H76</f>
        <v>Mataram, 6 Oktober 2025</v>
      </c>
      <c r="L51" s="54"/>
      <c r="M51" s="54"/>
      <c r="N51" s="54"/>
      <c r="O51" s="54"/>
      <c r="P51" s="53"/>
      <c r="Q51" s="53"/>
    </row>
    <row r="52" spans="1:17" ht="15" customHeight="1">
      <c r="C52" s="43"/>
      <c r="D52" s="43"/>
      <c r="E52" s="43"/>
      <c r="F52" s="43"/>
      <c r="G52" s="43"/>
      <c r="H52" s="43"/>
      <c r="K52" s="67" t="str">
        <f>ppk_jab</f>
        <v>Pejabat Pembuat Komitmen</v>
      </c>
      <c r="L52" s="67"/>
      <c r="M52" s="67"/>
      <c r="N52" s="67"/>
      <c r="O52" s="67"/>
      <c r="P52" s="53"/>
      <c r="Q52" s="53"/>
    </row>
    <row r="53" spans="1:17" ht="15" customHeight="1">
      <c r="C53" s="43"/>
      <c r="D53" s="43"/>
      <c r="E53" s="43"/>
      <c r="F53" s="43"/>
      <c r="G53" s="43"/>
      <c r="H53" s="43"/>
      <c r="K53" s="54"/>
      <c r="L53" s="54"/>
      <c r="M53" s="54"/>
      <c r="N53" s="54"/>
      <c r="O53" s="54"/>
      <c r="P53" s="53"/>
      <c r="Q53" s="53"/>
    </row>
    <row r="54" spans="1:17" ht="15" customHeight="1">
      <c r="C54" s="43"/>
      <c r="D54" s="43"/>
      <c r="E54" s="43"/>
      <c r="F54" s="43"/>
      <c r="G54" s="43"/>
      <c r="H54" s="43"/>
      <c r="K54" s="54"/>
      <c r="L54" s="54"/>
      <c r="M54" s="54"/>
      <c r="N54" s="54"/>
      <c r="O54" s="54"/>
      <c r="P54" s="53"/>
      <c r="Q54" s="53"/>
    </row>
    <row r="55" spans="1:17" ht="15" customHeight="1">
      <c r="C55" s="43"/>
      <c r="D55" s="43"/>
      <c r="E55" s="43"/>
      <c r="F55" s="43"/>
      <c r="G55" s="43"/>
      <c r="H55" s="43"/>
      <c r="K55" s="44"/>
      <c r="L55" s="44"/>
      <c r="M55" s="44"/>
      <c r="N55" s="44"/>
      <c r="O55" s="44"/>
      <c r="P55" s="53"/>
      <c r="Q55" s="53"/>
    </row>
    <row r="56" spans="1:17" ht="15" customHeight="1">
      <c r="C56" s="43"/>
      <c r="D56" s="43"/>
      <c r="E56" s="43"/>
      <c r="F56" s="43"/>
      <c r="G56" s="43"/>
      <c r="H56" s="43"/>
      <c r="K56" s="44"/>
      <c r="L56" s="44"/>
      <c r="M56" s="44"/>
      <c r="N56" s="44"/>
      <c r="O56" s="44"/>
      <c r="P56" s="53"/>
      <c r="Q56" s="53"/>
    </row>
    <row r="57" spans="1:17" ht="15" customHeight="1">
      <c r="C57" s="43"/>
      <c r="D57" s="43"/>
      <c r="E57" s="43"/>
      <c r="F57" s="43"/>
      <c r="G57" s="43"/>
      <c r="H57" s="43"/>
      <c r="K57" s="55" t="str">
        <f>ppk_nama</f>
        <v>Ika Kurnia Mustika, ST, MT</v>
      </c>
      <c r="L57" s="55"/>
      <c r="M57" s="55"/>
      <c r="N57" s="55"/>
      <c r="O57" s="55"/>
      <c r="P57" s="53"/>
      <c r="Q57" s="53"/>
    </row>
    <row r="58" spans="1:17" ht="15" customHeight="1">
      <c r="C58" s="43"/>
      <c r="D58" s="43"/>
      <c r="E58" s="43"/>
      <c r="F58" s="43"/>
      <c r="G58" s="43"/>
      <c r="H58" s="43"/>
      <c r="K58" s="44" t="str">
        <f>"NIP. "&amp;ppk_nip</f>
        <v>NIP. 19791117 200901 1 006</v>
      </c>
      <c r="L58" s="44"/>
      <c r="M58" s="44"/>
      <c r="N58" s="44"/>
      <c r="O58" s="44"/>
      <c r="P58" s="53"/>
      <c r="Q58" s="53"/>
    </row>
    <row r="59" spans="1:17" ht="5.25" customHeight="1">
      <c r="C59" s="43"/>
      <c r="D59" s="43"/>
      <c r="G59" s="44"/>
      <c r="H59" s="44"/>
      <c r="I59" s="44"/>
      <c r="J59" s="44"/>
      <c r="K59" s="44"/>
      <c r="L59" s="53"/>
      <c r="M59" s="53"/>
    </row>
    <row r="60" spans="1:17" ht="15" customHeight="1">
      <c r="C60" s="43"/>
      <c r="D60" s="43"/>
      <c r="G60" s="44"/>
      <c r="H60" s="44"/>
      <c r="I60" s="44"/>
      <c r="J60" s="44"/>
      <c r="K60" s="44"/>
      <c r="L60" s="53"/>
      <c r="M60" s="53"/>
    </row>
    <row r="61" spans="1:17" ht="15" customHeight="1">
      <c r="C61" s="43"/>
      <c r="D61" s="43"/>
      <c r="G61" s="44"/>
      <c r="H61" s="44"/>
      <c r="I61" s="44"/>
      <c r="J61" s="44"/>
      <c r="K61" s="44"/>
      <c r="L61" s="53"/>
      <c r="M61" s="53"/>
    </row>
    <row r="63" spans="1:17" ht="60" customHeight="1"/>
  </sheetData>
  <mergeCells count="28">
    <mergeCell ref="D47:M47"/>
    <mergeCell ref="M14:M15"/>
    <mergeCell ref="B34:E34"/>
    <mergeCell ref="B35:E35"/>
    <mergeCell ref="B44:E44"/>
    <mergeCell ref="B45:E45"/>
    <mergeCell ref="B46:E46"/>
    <mergeCell ref="B29:E29"/>
    <mergeCell ref="B30:E30"/>
    <mergeCell ref="B31:E31"/>
    <mergeCell ref="B32:E32"/>
    <mergeCell ref="B33:E33"/>
    <mergeCell ref="B21:E21"/>
    <mergeCell ref="B22:E22"/>
    <mergeCell ref="B24:E24"/>
    <mergeCell ref="B26:E26"/>
    <mergeCell ref="B28:E28"/>
    <mergeCell ref="B16:E16"/>
    <mergeCell ref="B17:E17"/>
    <mergeCell ref="B18:E18"/>
    <mergeCell ref="B19:E19"/>
    <mergeCell ref="B20:E20"/>
    <mergeCell ref="D1:M1"/>
    <mergeCell ref="D2:M2"/>
    <mergeCell ref="D3:M3"/>
    <mergeCell ref="A5:M5"/>
    <mergeCell ref="B14:E14"/>
    <mergeCell ref="H14:L14"/>
  </mergeCells>
  <hyperlinks>
    <hyperlink ref="O5" location="Input!A72" display="balik ke input" xr:uid="{00000000-0004-0000-0400-000000000000}"/>
  </hyperlinks>
  <printOptions horizontalCentered="1"/>
  <pageMargins left="0.78740157480314998" right="0.55118110236220497" top="0.39370078740157499" bottom="0.78740157480314998" header="0.196850393700787" footer="0.196850393700787"/>
  <pageSetup paperSize="9" scale="95" orientation="landscape" horizontalDpi="200" verticalDpi="300" r:id="rId1"/>
  <rowBreaks count="1" manualBreakCount="1">
    <brk id="33" max="1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L62"/>
  <sheetViews>
    <sheetView view="pageBreakPreview" topLeftCell="B9" zoomScale="130" zoomScaleNormal="100" workbookViewId="0">
      <selection activeCell="G27" sqref="G27"/>
    </sheetView>
  </sheetViews>
  <sheetFormatPr defaultColWidth="9" defaultRowHeight="14.25"/>
  <cols>
    <col min="1" max="1" width="3.6640625" style="18" customWidth="1"/>
    <col min="2" max="2" width="8.19921875" style="18" customWidth="1"/>
    <col min="3" max="3" width="2" style="18" customWidth="1"/>
    <col min="4" max="4" width="20.86328125" style="18" customWidth="1"/>
    <col min="5" max="5" width="8.6640625" style="18" customWidth="1"/>
    <col min="6" max="6" width="9.33203125" style="18" customWidth="1"/>
    <col min="7" max="7" width="9.86328125" style="18" customWidth="1"/>
    <col min="8" max="9" width="13.6640625" style="18" customWidth="1"/>
    <col min="10" max="10" width="9" style="18" hidden="1" customWidth="1"/>
    <col min="11" max="11" width="9" style="18"/>
    <col min="12" max="12" width="11" style="18" customWidth="1"/>
    <col min="13" max="256" width="9" style="18"/>
    <col min="257" max="257" width="9.86328125" style="18" customWidth="1"/>
    <col min="258" max="258" width="2" style="18" customWidth="1"/>
    <col min="259" max="259" width="12.53125" style="18" customWidth="1"/>
    <col min="260" max="260" width="1.86328125" style="18" customWidth="1"/>
    <col min="261" max="261" width="2" style="18" customWidth="1"/>
    <col min="262" max="262" width="16" style="18" customWidth="1"/>
    <col min="263" max="263" width="26" style="18" customWidth="1"/>
    <col min="264" max="264" width="9" style="18"/>
    <col min="265" max="265" width="9" style="18" customWidth="1"/>
    <col min="266" max="512" width="9" style="18"/>
    <col min="513" max="513" width="9.86328125" style="18" customWidth="1"/>
    <col min="514" max="514" width="2" style="18" customWidth="1"/>
    <col min="515" max="515" width="12.53125" style="18" customWidth="1"/>
    <col min="516" max="516" width="1.86328125" style="18" customWidth="1"/>
    <col min="517" max="517" width="2" style="18" customWidth="1"/>
    <col min="518" max="518" width="16" style="18" customWidth="1"/>
    <col min="519" max="519" width="26" style="18" customWidth="1"/>
    <col min="520" max="520" width="9" style="18"/>
    <col min="521" max="521" width="9" style="18" customWidth="1"/>
    <col min="522" max="768" width="9" style="18"/>
    <col min="769" max="769" width="9.86328125" style="18" customWidth="1"/>
    <col min="770" max="770" width="2" style="18" customWidth="1"/>
    <col min="771" max="771" width="12.53125" style="18" customWidth="1"/>
    <col min="772" max="772" width="1.86328125" style="18" customWidth="1"/>
    <col min="773" max="773" width="2" style="18" customWidth="1"/>
    <col min="774" max="774" width="16" style="18" customWidth="1"/>
    <col min="775" max="775" width="26" style="18" customWidth="1"/>
    <col min="776" max="776" width="9" style="18"/>
    <col min="777" max="777" width="9" style="18" customWidth="1"/>
    <col min="778" max="1024" width="9" style="18"/>
    <col min="1025" max="1025" width="9.86328125" style="18" customWidth="1"/>
    <col min="1026" max="1026" width="2" style="18" customWidth="1"/>
    <col min="1027" max="1027" width="12.53125" style="18" customWidth="1"/>
    <col min="1028" max="1028" width="1.86328125" style="18" customWidth="1"/>
    <col min="1029" max="1029" width="2" style="18" customWidth="1"/>
    <col min="1030" max="1030" width="16" style="18" customWidth="1"/>
    <col min="1031" max="1031" width="26" style="18" customWidth="1"/>
    <col min="1032" max="1032" width="9" style="18"/>
    <col min="1033" max="1033" width="9" style="18" customWidth="1"/>
    <col min="1034" max="1280" width="9" style="18"/>
    <col min="1281" max="1281" width="9.86328125" style="18" customWidth="1"/>
    <col min="1282" max="1282" width="2" style="18" customWidth="1"/>
    <col min="1283" max="1283" width="12.53125" style="18" customWidth="1"/>
    <col min="1284" max="1284" width="1.86328125" style="18" customWidth="1"/>
    <col min="1285" max="1285" width="2" style="18" customWidth="1"/>
    <col min="1286" max="1286" width="16" style="18" customWidth="1"/>
    <col min="1287" max="1287" width="26" style="18" customWidth="1"/>
    <col min="1288" max="1288" width="9" style="18"/>
    <col min="1289" max="1289" width="9" style="18" customWidth="1"/>
    <col min="1290" max="1536" width="9" style="18"/>
    <col min="1537" max="1537" width="9.86328125" style="18" customWidth="1"/>
    <col min="1538" max="1538" width="2" style="18" customWidth="1"/>
    <col min="1539" max="1539" width="12.53125" style="18" customWidth="1"/>
    <col min="1540" max="1540" width="1.86328125" style="18" customWidth="1"/>
    <col min="1541" max="1541" width="2" style="18" customWidth="1"/>
    <col min="1542" max="1542" width="16" style="18" customWidth="1"/>
    <col min="1543" max="1543" width="26" style="18" customWidth="1"/>
    <col min="1544" max="1544" width="9" style="18"/>
    <col min="1545" max="1545" width="9" style="18" customWidth="1"/>
    <col min="1546" max="1792" width="9" style="18"/>
    <col min="1793" max="1793" width="9.86328125" style="18" customWidth="1"/>
    <col min="1794" max="1794" width="2" style="18" customWidth="1"/>
    <col min="1795" max="1795" width="12.53125" style="18" customWidth="1"/>
    <col min="1796" max="1796" width="1.86328125" style="18" customWidth="1"/>
    <col min="1797" max="1797" width="2" style="18" customWidth="1"/>
    <col min="1798" max="1798" width="16" style="18" customWidth="1"/>
    <col min="1799" max="1799" width="26" style="18" customWidth="1"/>
    <col min="1800" max="1800" width="9" style="18"/>
    <col min="1801" max="1801" width="9" style="18" customWidth="1"/>
    <col min="1802" max="2048" width="9" style="18"/>
    <col min="2049" max="2049" width="9.86328125" style="18" customWidth="1"/>
    <col min="2050" max="2050" width="2" style="18" customWidth="1"/>
    <col min="2051" max="2051" width="12.53125" style="18" customWidth="1"/>
    <col min="2052" max="2052" width="1.86328125" style="18" customWidth="1"/>
    <col min="2053" max="2053" width="2" style="18" customWidth="1"/>
    <col min="2054" max="2054" width="16" style="18" customWidth="1"/>
    <col min="2055" max="2055" width="26" style="18" customWidth="1"/>
    <col min="2056" max="2056" width="9" style="18"/>
    <col min="2057" max="2057" width="9" style="18" customWidth="1"/>
    <col min="2058" max="2304" width="9" style="18"/>
    <col min="2305" max="2305" width="9.86328125" style="18" customWidth="1"/>
    <col min="2306" max="2306" width="2" style="18" customWidth="1"/>
    <col min="2307" max="2307" width="12.53125" style="18" customWidth="1"/>
    <col min="2308" max="2308" width="1.86328125" style="18" customWidth="1"/>
    <col min="2309" max="2309" width="2" style="18" customWidth="1"/>
    <col min="2310" max="2310" width="16" style="18" customWidth="1"/>
    <col min="2311" max="2311" width="26" style="18" customWidth="1"/>
    <col min="2312" max="2312" width="9" style="18"/>
    <col min="2313" max="2313" width="9" style="18" customWidth="1"/>
    <col min="2314" max="2560" width="9" style="18"/>
    <col min="2561" max="2561" width="9.86328125" style="18" customWidth="1"/>
    <col min="2562" max="2562" width="2" style="18" customWidth="1"/>
    <col min="2563" max="2563" width="12.53125" style="18" customWidth="1"/>
    <col min="2564" max="2564" width="1.86328125" style="18" customWidth="1"/>
    <col min="2565" max="2565" width="2" style="18" customWidth="1"/>
    <col min="2566" max="2566" width="16" style="18" customWidth="1"/>
    <col min="2567" max="2567" width="26" style="18" customWidth="1"/>
    <col min="2568" max="2568" width="9" style="18"/>
    <col min="2569" max="2569" width="9" style="18" customWidth="1"/>
    <col min="2570" max="2816" width="9" style="18"/>
    <col min="2817" max="2817" width="9.86328125" style="18" customWidth="1"/>
    <col min="2818" max="2818" width="2" style="18" customWidth="1"/>
    <col min="2819" max="2819" width="12.53125" style="18" customWidth="1"/>
    <col min="2820" max="2820" width="1.86328125" style="18" customWidth="1"/>
    <col min="2821" max="2821" width="2" style="18" customWidth="1"/>
    <col min="2822" max="2822" width="16" style="18" customWidth="1"/>
    <col min="2823" max="2823" width="26" style="18" customWidth="1"/>
    <col min="2824" max="2824" width="9" style="18"/>
    <col min="2825" max="2825" width="9" style="18" customWidth="1"/>
    <col min="2826" max="3072" width="9" style="18"/>
    <col min="3073" max="3073" width="9.86328125" style="18" customWidth="1"/>
    <col min="3074" max="3074" width="2" style="18" customWidth="1"/>
    <col min="3075" max="3075" width="12.53125" style="18" customWidth="1"/>
    <col min="3076" max="3076" width="1.86328125" style="18" customWidth="1"/>
    <col min="3077" max="3077" width="2" style="18" customWidth="1"/>
    <col min="3078" max="3078" width="16" style="18" customWidth="1"/>
    <col min="3079" max="3079" width="26" style="18" customWidth="1"/>
    <col min="3080" max="3080" width="9" style="18"/>
    <col min="3081" max="3081" width="9" style="18" customWidth="1"/>
    <col min="3082" max="3328" width="9" style="18"/>
    <col min="3329" max="3329" width="9.86328125" style="18" customWidth="1"/>
    <col min="3330" max="3330" width="2" style="18" customWidth="1"/>
    <col min="3331" max="3331" width="12.53125" style="18" customWidth="1"/>
    <col min="3332" max="3332" width="1.86328125" style="18" customWidth="1"/>
    <col min="3333" max="3333" width="2" style="18" customWidth="1"/>
    <col min="3334" max="3334" width="16" style="18" customWidth="1"/>
    <col min="3335" max="3335" width="26" style="18" customWidth="1"/>
    <col min="3336" max="3336" width="9" style="18"/>
    <col min="3337" max="3337" width="9" style="18" customWidth="1"/>
    <col min="3338" max="3584" width="9" style="18"/>
    <col min="3585" max="3585" width="9.86328125" style="18" customWidth="1"/>
    <col min="3586" max="3586" width="2" style="18" customWidth="1"/>
    <col min="3587" max="3587" width="12.53125" style="18" customWidth="1"/>
    <col min="3588" max="3588" width="1.86328125" style="18" customWidth="1"/>
    <col min="3589" max="3589" width="2" style="18" customWidth="1"/>
    <col min="3590" max="3590" width="16" style="18" customWidth="1"/>
    <col min="3591" max="3591" width="26" style="18" customWidth="1"/>
    <col min="3592" max="3592" width="9" style="18"/>
    <col min="3593" max="3593" width="9" style="18" customWidth="1"/>
    <col min="3594" max="3840" width="9" style="18"/>
    <col min="3841" max="3841" width="9.86328125" style="18" customWidth="1"/>
    <col min="3842" max="3842" width="2" style="18" customWidth="1"/>
    <col min="3843" max="3843" width="12.53125" style="18" customWidth="1"/>
    <col min="3844" max="3844" width="1.86328125" style="18" customWidth="1"/>
    <col min="3845" max="3845" width="2" style="18" customWidth="1"/>
    <col min="3846" max="3846" width="16" style="18" customWidth="1"/>
    <col min="3847" max="3847" width="26" style="18" customWidth="1"/>
    <col min="3848" max="3848" width="9" style="18"/>
    <col min="3849" max="3849" width="9" style="18" customWidth="1"/>
    <col min="3850" max="4096" width="9" style="18"/>
    <col min="4097" max="4097" width="9.86328125" style="18" customWidth="1"/>
    <col min="4098" max="4098" width="2" style="18" customWidth="1"/>
    <col min="4099" max="4099" width="12.53125" style="18" customWidth="1"/>
    <col min="4100" max="4100" width="1.86328125" style="18" customWidth="1"/>
    <col min="4101" max="4101" width="2" style="18" customWidth="1"/>
    <col min="4102" max="4102" width="16" style="18" customWidth="1"/>
    <col min="4103" max="4103" width="26" style="18" customWidth="1"/>
    <col min="4104" max="4104" width="9" style="18"/>
    <col min="4105" max="4105" width="9" style="18" customWidth="1"/>
    <col min="4106" max="4352" width="9" style="18"/>
    <col min="4353" max="4353" width="9.86328125" style="18" customWidth="1"/>
    <col min="4354" max="4354" width="2" style="18" customWidth="1"/>
    <col min="4355" max="4355" width="12.53125" style="18" customWidth="1"/>
    <col min="4356" max="4356" width="1.86328125" style="18" customWidth="1"/>
    <col min="4357" max="4357" width="2" style="18" customWidth="1"/>
    <col min="4358" max="4358" width="16" style="18" customWidth="1"/>
    <col min="4359" max="4359" width="26" style="18" customWidth="1"/>
    <col min="4360" max="4360" width="9" style="18"/>
    <col min="4361" max="4361" width="9" style="18" customWidth="1"/>
    <col min="4362" max="4608" width="9" style="18"/>
    <col min="4609" max="4609" width="9.86328125" style="18" customWidth="1"/>
    <col min="4610" max="4610" width="2" style="18" customWidth="1"/>
    <col min="4611" max="4611" width="12.53125" style="18" customWidth="1"/>
    <col min="4612" max="4612" width="1.86328125" style="18" customWidth="1"/>
    <col min="4613" max="4613" width="2" style="18" customWidth="1"/>
    <col min="4614" max="4614" width="16" style="18" customWidth="1"/>
    <col min="4615" max="4615" width="26" style="18" customWidth="1"/>
    <col min="4616" max="4616" width="9" style="18"/>
    <col min="4617" max="4617" width="9" style="18" customWidth="1"/>
    <col min="4618" max="4864" width="9" style="18"/>
    <col min="4865" max="4865" width="9.86328125" style="18" customWidth="1"/>
    <col min="4866" max="4866" width="2" style="18" customWidth="1"/>
    <col min="4867" max="4867" width="12.53125" style="18" customWidth="1"/>
    <col min="4868" max="4868" width="1.86328125" style="18" customWidth="1"/>
    <col min="4869" max="4869" width="2" style="18" customWidth="1"/>
    <col min="4870" max="4870" width="16" style="18" customWidth="1"/>
    <col min="4871" max="4871" width="26" style="18" customWidth="1"/>
    <col min="4872" max="4872" width="9" style="18"/>
    <col min="4873" max="4873" width="9" style="18" customWidth="1"/>
    <col min="4874" max="5120" width="9" style="18"/>
    <col min="5121" max="5121" width="9.86328125" style="18" customWidth="1"/>
    <col min="5122" max="5122" width="2" style="18" customWidth="1"/>
    <col min="5123" max="5123" width="12.53125" style="18" customWidth="1"/>
    <col min="5124" max="5124" width="1.86328125" style="18" customWidth="1"/>
    <col min="5125" max="5125" width="2" style="18" customWidth="1"/>
    <col min="5126" max="5126" width="16" style="18" customWidth="1"/>
    <col min="5127" max="5127" width="26" style="18" customWidth="1"/>
    <col min="5128" max="5128" width="9" style="18"/>
    <col min="5129" max="5129" width="9" style="18" customWidth="1"/>
    <col min="5130" max="5376" width="9" style="18"/>
    <col min="5377" max="5377" width="9.86328125" style="18" customWidth="1"/>
    <col min="5378" max="5378" width="2" style="18" customWidth="1"/>
    <col min="5379" max="5379" width="12.53125" style="18" customWidth="1"/>
    <col min="5380" max="5380" width="1.86328125" style="18" customWidth="1"/>
    <col min="5381" max="5381" width="2" style="18" customWidth="1"/>
    <col min="5382" max="5382" width="16" style="18" customWidth="1"/>
    <col min="5383" max="5383" width="26" style="18" customWidth="1"/>
    <col min="5384" max="5384" width="9" style="18"/>
    <col min="5385" max="5385" width="9" style="18" customWidth="1"/>
    <col min="5386" max="5632" width="9" style="18"/>
    <col min="5633" max="5633" width="9.86328125" style="18" customWidth="1"/>
    <col min="5634" max="5634" width="2" style="18" customWidth="1"/>
    <col min="5635" max="5635" width="12.53125" style="18" customWidth="1"/>
    <col min="5636" max="5636" width="1.86328125" style="18" customWidth="1"/>
    <col min="5637" max="5637" width="2" style="18" customWidth="1"/>
    <col min="5638" max="5638" width="16" style="18" customWidth="1"/>
    <col min="5639" max="5639" width="26" style="18" customWidth="1"/>
    <col min="5640" max="5640" width="9" style="18"/>
    <col min="5641" max="5641" width="9" style="18" customWidth="1"/>
    <col min="5642" max="5888" width="9" style="18"/>
    <col min="5889" max="5889" width="9.86328125" style="18" customWidth="1"/>
    <col min="5890" max="5890" width="2" style="18" customWidth="1"/>
    <col min="5891" max="5891" width="12.53125" style="18" customWidth="1"/>
    <col min="5892" max="5892" width="1.86328125" style="18" customWidth="1"/>
    <col min="5893" max="5893" width="2" style="18" customWidth="1"/>
    <col min="5894" max="5894" width="16" style="18" customWidth="1"/>
    <col min="5895" max="5895" width="26" style="18" customWidth="1"/>
    <col min="5896" max="5896" width="9" style="18"/>
    <col min="5897" max="5897" width="9" style="18" customWidth="1"/>
    <col min="5898" max="6144" width="9" style="18"/>
    <col min="6145" max="6145" width="9.86328125" style="18" customWidth="1"/>
    <col min="6146" max="6146" width="2" style="18" customWidth="1"/>
    <col min="6147" max="6147" width="12.53125" style="18" customWidth="1"/>
    <col min="6148" max="6148" width="1.86328125" style="18" customWidth="1"/>
    <col min="6149" max="6149" width="2" style="18" customWidth="1"/>
    <col min="6150" max="6150" width="16" style="18" customWidth="1"/>
    <col min="6151" max="6151" width="26" style="18" customWidth="1"/>
    <col min="6152" max="6152" width="9" style="18"/>
    <col min="6153" max="6153" width="9" style="18" customWidth="1"/>
    <col min="6154" max="6400" width="9" style="18"/>
    <col min="6401" max="6401" width="9.86328125" style="18" customWidth="1"/>
    <col min="6402" max="6402" width="2" style="18" customWidth="1"/>
    <col min="6403" max="6403" width="12.53125" style="18" customWidth="1"/>
    <col min="6404" max="6404" width="1.86328125" style="18" customWidth="1"/>
    <col min="6405" max="6405" width="2" style="18" customWidth="1"/>
    <col min="6406" max="6406" width="16" style="18" customWidth="1"/>
    <col min="6407" max="6407" width="26" style="18" customWidth="1"/>
    <col min="6408" max="6408" width="9" style="18"/>
    <col min="6409" max="6409" width="9" style="18" customWidth="1"/>
    <col min="6410" max="6656" width="9" style="18"/>
    <col min="6657" max="6657" width="9.86328125" style="18" customWidth="1"/>
    <col min="6658" max="6658" width="2" style="18" customWidth="1"/>
    <col min="6659" max="6659" width="12.53125" style="18" customWidth="1"/>
    <col min="6660" max="6660" width="1.86328125" style="18" customWidth="1"/>
    <col min="6661" max="6661" width="2" style="18" customWidth="1"/>
    <col min="6662" max="6662" width="16" style="18" customWidth="1"/>
    <col min="6663" max="6663" width="26" style="18" customWidth="1"/>
    <col min="6664" max="6664" width="9" style="18"/>
    <col min="6665" max="6665" width="9" style="18" customWidth="1"/>
    <col min="6666" max="6912" width="9" style="18"/>
    <col min="6913" max="6913" width="9.86328125" style="18" customWidth="1"/>
    <col min="6914" max="6914" width="2" style="18" customWidth="1"/>
    <col min="6915" max="6915" width="12.53125" style="18" customWidth="1"/>
    <col min="6916" max="6916" width="1.86328125" style="18" customWidth="1"/>
    <col min="6917" max="6917" width="2" style="18" customWidth="1"/>
    <col min="6918" max="6918" width="16" style="18" customWidth="1"/>
    <col min="6919" max="6919" width="26" style="18" customWidth="1"/>
    <col min="6920" max="6920" width="9" style="18"/>
    <col min="6921" max="6921" width="9" style="18" customWidth="1"/>
    <col min="6922" max="7168" width="9" style="18"/>
    <col min="7169" max="7169" width="9.86328125" style="18" customWidth="1"/>
    <col min="7170" max="7170" width="2" style="18" customWidth="1"/>
    <col min="7171" max="7171" width="12.53125" style="18" customWidth="1"/>
    <col min="7172" max="7172" width="1.86328125" style="18" customWidth="1"/>
    <col min="7173" max="7173" width="2" style="18" customWidth="1"/>
    <col min="7174" max="7174" width="16" style="18" customWidth="1"/>
    <col min="7175" max="7175" width="26" style="18" customWidth="1"/>
    <col min="7176" max="7176" width="9" style="18"/>
    <col min="7177" max="7177" width="9" style="18" customWidth="1"/>
    <col min="7178" max="7424" width="9" style="18"/>
    <col min="7425" max="7425" width="9.86328125" style="18" customWidth="1"/>
    <col min="7426" max="7426" width="2" style="18" customWidth="1"/>
    <col min="7427" max="7427" width="12.53125" style="18" customWidth="1"/>
    <col min="7428" max="7428" width="1.86328125" style="18" customWidth="1"/>
    <col min="7429" max="7429" width="2" style="18" customWidth="1"/>
    <col min="7430" max="7430" width="16" style="18" customWidth="1"/>
    <col min="7431" max="7431" width="26" style="18" customWidth="1"/>
    <col min="7432" max="7432" width="9" style="18"/>
    <col min="7433" max="7433" width="9" style="18" customWidth="1"/>
    <col min="7434" max="7680" width="9" style="18"/>
    <col min="7681" max="7681" width="9.86328125" style="18" customWidth="1"/>
    <col min="7682" max="7682" width="2" style="18" customWidth="1"/>
    <col min="7683" max="7683" width="12.53125" style="18" customWidth="1"/>
    <col min="7684" max="7684" width="1.86328125" style="18" customWidth="1"/>
    <col min="7685" max="7685" width="2" style="18" customWidth="1"/>
    <col min="7686" max="7686" width="16" style="18" customWidth="1"/>
    <col min="7687" max="7687" width="26" style="18" customWidth="1"/>
    <col min="7688" max="7688" width="9" style="18"/>
    <col min="7689" max="7689" width="9" style="18" customWidth="1"/>
    <col min="7690" max="7936" width="9" style="18"/>
    <col min="7937" max="7937" width="9.86328125" style="18" customWidth="1"/>
    <col min="7938" max="7938" width="2" style="18" customWidth="1"/>
    <col min="7939" max="7939" width="12.53125" style="18" customWidth="1"/>
    <col min="7940" max="7940" width="1.86328125" style="18" customWidth="1"/>
    <col min="7941" max="7941" width="2" style="18" customWidth="1"/>
    <col min="7942" max="7942" width="16" style="18" customWidth="1"/>
    <col min="7943" max="7943" width="26" style="18" customWidth="1"/>
    <col min="7944" max="7944" width="9" style="18"/>
    <col min="7945" max="7945" width="9" style="18" customWidth="1"/>
    <col min="7946" max="8192" width="9" style="18"/>
    <col min="8193" max="8193" width="9.86328125" style="18" customWidth="1"/>
    <col min="8194" max="8194" width="2" style="18" customWidth="1"/>
    <col min="8195" max="8195" width="12.53125" style="18" customWidth="1"/>
    <col min="8196" max="8196" width="1.86328125" style="18" customWidth="1"/>
    <col min="8197" max="8197" width="2" style="18" customWidth="1"/>
    <col min="8198" max="8198" width="16" style="18" customWidth="1"/>
    <col min="8199" max="8199" width="26" style="18" customWidth="1"/>
    <col min="8200" max="8200" width="9" style="18"/>
    <col min="8201" max="8201" width="9" style="18" customWidth="1"/>
    <col min="8202" max="8448" width="9" style="18"/>
    <col min="8449" max="8449" width="9.86328125" style="18" customWidth="1"/>
    <col min="8450" max="8450" width="2" style="18" customWidth="1"/>
    <col min="8451" max="8451" width="12.53125" style="18" customWidth="1"/>
    <col min="8452" max="8452" width="1.86328125" style="18" customWidth="1"/>
    <col min="8453" max="8453" width="2" style="18" customWidth="1"/>
    <col min="8454" max="8454" width="16" style="18" customWidth="1"/>
    <col min="8455" max="8455" width="26" style="18" customWidth="1"/>
    <col min="8456" max="8456" width="9" style="18"/>
    <col min="8457" max="8457" width="9" style="18" customWidth="1"/>
    <col min="8458" max="8704" width="9" style="18"/>
    <col min="8705" max="8705" width="9.86328125" style="18" customWidth="1"/>
    <col min="8706" max="8706" width="2" style="18" customWidth="1"/>
    <col min="8707" max="8707" width="12.53125" style="18" customWidth="1"/>
    <col min="8708" max="8708" width="1.86328125" style="18" customWidth="1"/>
    <col min="8709" max="8709" width="2" style="18" customWidth="1"/>
    <col min="8710" max="8710" width="16" style="18" customWidth="1"/>
    <col min="8711" max="8711" width="26" style="18" customWidth="1"/>
    <col min="8712" max="8712" width="9" style="18"/>
    <col min="8713" max="8713" width="9" style="18" customWidth="1"/>
    <col min="8714" max="8960" width="9" style="18"/>
    <col min="8961" max="8961" width="9.86328125" style="18" customWidth="1"/>
    <col min="8962" max="8962" width="2" style="18" customWidth="1"/>
    <col min="8963" max="8963" width="12.53125" style="18" customWidth="1"/>
    <col min="8964" max="8964" width="1.86328125" style="18" customWidth="1"/>
    <col min="8965" max="8965" width="2" style="18" customWidth="1"/>
    <col min="8966" max="8966" width="16" style="18" customWidth="1"/>
    <col min="8967" max="8967" width="26" style="18" customWidth="1"/>
    <col min="8968" max="8968" width="9" style="18"/>
    <col min="8969" max="8969" width="9" style="18" customWidth="1"/>
    <col min="8970" max="9216" width="9" style="18"/>
    <col min="9217" max="9217" width="9.86328125" style="18" customWidth="1"/>
    <col min="9218" max="9218" width="2" style="18" customWidth="1"/>
    <col min="9219" max="9219" width="12.53125" style="18" customWidth="1"/>
    <col min="9220" max="9220" width="1.86328125" style="18" customWidth="1"/>
    <col min="9221" max="9221" width="2" style="18" customWidth="1"/>
    <col min="9222" max="9222" width="16" style="18" customWidth="1"/>
    <col min="9223" max="9223" width="26" style="18" customWidth="1"/>
    <col min="9224" max="9224" width="9" style="18"/>
    <col min="9225" max="9225" width="9" style="18" customWidth="1"/>
    <col min="9226" max="9472" width="9" style="18"/>
    <col min="9473" max="9473" width="9.86328125" style="18" customWidth="1"/>
    <col min="9474" max="9474" width="2" style="18" customWidth="1"/>
    <col min="9475" max="9475" width="12.53125" style="18" customWidth="1"/>
    <col min="9476" max="9476" width="1.86328125" style="18" customWidth="1"/>
    <col min="9477" max="9477" width="2" style="18" customWidth="1"/>
    <col min="9478" max="9478" width="16" style="18" customWidth="1"/>
    <col min="9479" max="9479" width="26" style="18" customWidth="1"/>
    <col min="9480" max="9480" width="9" style="18"/>
    <col min="9481" max="9481" width="9" style="18" customWidth="1"/>
    <col min="9482" max="9728" width="9" style="18"/>
    <col min="9729" max="9729" width="9.86328125" style="18" customWidth="1"/>
    <col min="9730" max="9730" width="2" style="18" customWidth="1"/>
    <col min="9731" max="9731" width="12.53125" style="18" customWidth="1"/>
    <col min="9732" max="9732" width="1.86328125" style="18" customWidth="1"/>
    <col min="9733" max="9733" width="2" style="18" customWidth="1"/>
    <col min="9734" max="9734" width="16" style="18" customWidth="1"/>
    <col min="9735" max="9735" width="26" style="18" customWidth="1"/>
    <col min="9736" max="9736" width="9" style="18"/>
    <col min="9737" max="9737" width="9" style="18" customWidth="1"/>
    <col min="9738" max="9984" width="9" style="18"/>
    <col min="9985" max="9985" width="9.86328125" style="18" customWidth="1"/>
    <col min="9986" max="9986" width="2" style="18" customWidth="1"/>
    <col min="9987" max="9987" width="12.53125" style="18" customWidth="1"/>
    <col min="9988" max="9988" width="1.86328125" style="18" customWidth="1"/>
    <col min="9989" max="9989" width="2" style="18" customWidth="1"/>
    <col min="9990" max="9990" width="16" style="18" customWidth="1"/>
    <col min="9991" max="9991" width="26" style="18" customWidth="1"/>
    <col min="9992" max="9992" width="9" style="18"/>
    <col min="9993" max="9993" width="9" style="18" customWidth="1"/>
    <col min="9994" max="10240" width="9" style="18"/>
    <col min="10241" max="10241" width="9.86328125" style="18" customWidth="1"/>
    <col min="10242" max="10242" width="2" style="18" customWidth="1"/>
    <col min="10243" max="10243" width="12.53125" style="18" customWidth="1"/>
    <col min="10244" max="10244" width="1.86328125" style="18" customWidth="1"/>
    <col min="10245" max="10245" width="2" style="18" customWidth="1"/>
    <col min="10246" max="10246" width="16" style="18" customWidth="1"/>
    <col min="10247" max="10247" width="26" style="18" customWidth="1"/>
    <col min="10248" max="10248" width="9" style="18"/>
    <col min="10249" max="10249" width="9" style="18" customWidth="1"/>
    <col min="10250" max="10496" width="9" style="18"/>
    <col min="10497" max="10497" width="9.86328125" style="18" customWidth="1"/>
    <col min="10498" max="10498" width="2" style="18" customWidth="1"/>
    <col min="10499" max="10499" width="12.53125" style="18" customWidth="1"/>
    <col min="10500" max="10500" width="1.86328125" style="18" customWidth="1"/>
    <col min="10501" max="10501" width="2" style="18" customWidth="1"/>
    <col min="10502" max="10502" width="16" style="18" customWidth="1"/>
    <col min="10503" max="10503" width="26" style="18" customWidth="1"/>
    <col min="10504" max="10504" width="9" style="18"/>
    <col min="10505" max="10505" width="9" style="18" customWidth="1"/>
    <col min="10506" max="10752" width="9" style="18"/>
    <col min="10753" max="10753" width="9.86328125" style="18" customWidth="1"/>
    <col min="10754" max="10754" width="2" style="18" customWidth="1"/>
    <col min="10755" max="10755" width="12.53125" style="18" customWidth="1"/>
    <col min="10756" max="10756" width="1.86328125" style="18" customWidth="1"/>
    <col min="10757" max="10757" width="2" style="18" customWidth="1"/>
    <col min="10758" max="10758" width="16" style="18" customWidth="1"/>
    <col min="10759" max="10759" width="26" style="18" customWidth="1"/>
    <col min="10760" max="10760" width="9" style="18"/>
    <col min="10761" max="10761" width="9" style="18" customWidth="1"/>
    <col min="10762" max="11008" width="9" style="18"/>
    <col min="11009" max="11009" width="9.86328125" style="18" customWidth="1"/>
    <col min="11010" max="11010" width="2" style="18" customWidth="1"/>
    <col min="11011" max="11011" width="12.53125" style="18" customWidth="1"/>
    <col min="11012" max="11012" width="1.86328125" style="18" customWidth="1"/>
    <col min="11013" max="11013" width="2" style="18" customWidth="1"/>
    <col min="11014" max="11014" width="16" style="18" customWidth="1"/>
    <col min="11015" max="11015" width="26" style="18" customWidth="1"/>
    <col min="11016" max="11016" width="9" style="18"/>
    <col min="11017" max="11017" width="9" style="18" customWidth="1"/>
    <col min="11018" max="11264" width="9" style="18"/>
    <col min="11265" max="11265" width="9.86328125" style="18" customWidth="1"/>
    <col min="11266" max="11266" width="2" style="18" customWidth="1"/>
    <col min="11267" max="11267" width="12.53125" style="18" customWidth="1"/>
    <col min="11268" max="11268" width="1.86328125" style="18" customWidth="1"/>
    <col min="11269" max="11269" width="2" style="18" customWidth="1"/>
    <col min="11270" max="11270" width="16" style="18" customWidth="1"/>
    <col min="11271" max="11271" width="26" style="18" customWidth="1"/>
    <col min="11272" max="11272" width="9" style="18"/>
    <col min="11273" max="11273" width="9" style="18" customWidth="1"/>
    <col min="11274" max="11520" width="9" style="18"/>
    <col min="11521" max="11521" width="9.86328125" style="18" customWidth="1"/>
    <col min="11522" max="11522" width="2" style="18" customWidth="1"/>
    <col min="11523" max="11523" width="12.53125" style="18" customWidth="1"/>
    <col min="11524" max="11524" width="1.86328125" style="18" customWidth="1"/>
    <col min="11525" max="11525" width="2" style="18" customWidth="1"/>
    <col min="11526" max="11526" width="16" style="18" customWidth="1"/>
    <col min="11527" max="11527" width="26" style="18" customWidth="1"/>
    <col min="11528" max="11528" width="9" style="18"/>
    <col min="11529" max="11529" width="9" style="18" customWidth="1"/>
    <col min="11530" max="11776" width="9" style="18"/>
    <col min="11777" max="11777" width="9.86328125" style="18" customWidth="1"/>
    <col min="11778" max="11778" width="2" style="18" customWidth="1"/>
    <col min="11779" max="11779" width="12.53125" style="18" customWidth="1"/>
    <col min="11780" max="11780" width="1.86328125" style="18" customWidth="1"/>
    <col min="11781" max="11781" width="2" style="18" customWidth="1"/>
    <col min="11782" max="11782" width="16" style="18" customWidth="1"/>
    <col min="11783" max="11783" width="26" style="18" customWidth="1"/>
    <col min="11784" max="11784" width="9" style="18"/>
    <col min="11785" max="11785" width="9" style="18" customWidth="1"/>
    <col min="11786" max="12032" width="9" style="18"/>
    <col min="12033" max="12033" width="9.86328125" style="18" customWidth="1"/>
    <col min="12034" max="12034" width="2" style="18" customWidth="1"/>
    <col min="12035" max="12035" width="12.53125" style="18" customWidth="1"/>
    <col min="12036" max="12036" width="1.86328125" style="18" customWidth="1"/>
    <col min="12037" max="12037" width="2" style="18" customWidth="1"/>
    <col min="12038" max="12038" width="16" style="18" customWidth="1"/>
    <col min="12039" max="12039" width="26" style="18" customWidth="1"/>
    <col min="12040" max="12040" width="9" style="18"/>
    <col min="12041" max="12041" width="9" style="18" customWidth="1"/>
    <col min="12042" max="12288" width="9" style="18"/>
    <col min="12289" max="12289" width="9.86328125" style="18" customWidth="1"/>
    <col min="12290" max="12290" width="2" style="18" customWidth="1"/>
    <col min="12291" max="12291" width="12.53125" style="18" customWidth="1"/>
    <col min="12292" max="12292" width="1.86328125" style="18" customWidth="1"/>
    <col min="12293" max="12293" width="2" style="18" customWidth="1"/>
    <col min="12294" max="12294" width="16" style="18" customWidth="1"/>
    <col min="12295" max="12295" width="26" style="18" customWidth="1"/>
    <col min="12296" max="12296" width="9" style="18"/>
    <col min="12297" max="12297" width="9" style="18" customWidth="1"/>
    <col min="12298" max="12544" width="9" style="18"/>
    <col min="12545" max="12545" width="9.86328125" style="18" customWidth="1"/>
    <col min="12546" max="12546" width="2" style="18" customWidth="1"/>
    <col min="12547" max="12547" width="12.53125" style="18" customWidth="1"/>
    <col min="12548" max="12548" width="1.86328125" style="18" customWidth="1"/>
    <col min="12549" max="12549" width="2" style="18" customWidth="1"/>
    <col min="12550" max="12550" width="16" style="18" customWidth="1"/>
    <col min="12551" max="12551" width="26" style="18" customWidth="1"/>
    <col min="12552" max="12552" width="9" style="18"/>
    <col min="12553" max="12553" width="9" style="18" customWidth="1"/>
    <col min="12554" max="12800" width="9" style="18"/>
    <col min="12801" max="12801" width="9.86328125" style="18" customWidth="1"/>
    <col min="12802" max="12802" width="2" style="18" customWidth="1"/>
    <col min="12803" max="12803" width="12.53125" style="18" customWidth="1"/>
    <col min="12804" max="12804" width="1.86328125" style="18" customWidth="1"/>
    <col min="12805" max="12805" width="2" style="18" customWidth="1"/>
    <col min="12806" max="12806" width="16" style="18" customWidth="1"/>
    <col min="12807" max="12807" width="26" style="18" customWidth="1"/>
    <col min="12808" max="12808" width="9" style="18"/>
    <col min="12809" max="12809" width="9" style="18" customWidth="1"/>
    <col min="12810" max="13056" width="9" style="18"/>
    <col min="13057" max="13057" width="9.86328125" style="18" customWidth="1"/>
    <col min="13058" max="13058" width="2" style="18" customWidth="1"/>
    <col min="13059" max="13059" width="12.53125" style="18" customWidth="1"/>
    <col min="13060" max="13060" width="1.86328125" style="18" customWidth="1"/>
    <col min="13061" max="13061" width="2" style="18" customWidth="1"/>
    <col min="13062" max="13062" width="16" style="18" customWidth="1"/>
    <col min="13063" max="13063" width="26" style="18" customWidth="1"/>
    <col min="13064" max="13064" width="9" style="18"/>
    <col min="13065" max="13065" width="9" style="18" customWidth="1"/>
    <col min="13066" max="13312" width="9" style="18"/>
    <col min="13313" max="13313" width="9.86328125" style="18" customWidth="1"/>
    <col min="13314" max="13314" width="2" style="18" customWidth="1"/>
    <col min="13315" max="13315" width="12.53125" style="18" customWidth="1"/>
    <col min="13316" max="13316" width="1.86328125" style="18" customWidth="1"/>
    <col min="13317" max="13317" width="2" style="18" customWidth="1"/>
    <col min="13318" max="13318" width="16" style="18" customWidth="1"/>
    <col min="13319" max="13319" width="26" style="18" customWidth="1"/>
    <col min="13320" max="13320" width="9" style="18"/>
    <col min="13321" max="13321" width="9" style="18" customWidth="1"/>
    <col min="13322" max="13568" width="9" style="18"/>
    <col min="13569" max="13569" width="9.86328125" style="18" customWidth="1"/>
    <col min="13570" max="13570" width="2" style="18" customWidth="1"/>
    <col min="13571" max="13571" width="12.53125" style="18" customWidth="1"/>
    <col min="13572" max="13572" width="1.86328125" style="18" customWidth="1"/>
    <col min="13573" max="13573" width="2" style="18" customWidth="1"/>
    <col min="13574" max="13574" width="16" style="18" customWidth="1"/>
    <col min="13575" max="13575" width="26" style="18" customWidth="1"/>
    <col min="13576" max="13576" width="9" style="18"/>
    <col min="13577" max="13577" width="9" style="18" customWidth="1"/>
    <col min="13578" max="13824" width="9" style="18"/>
    <col min="13825" max="13825" width="9.86328125" style="18" customWidth="1"/>
    <col min="13826" max="13826" width="2" style="18" customWidth="1"/>
    <col min="13827" max="13827" width="12.53125" style="18" customWidth="1"/>
    <col min="13828" max="13828" width="1.86328125" style="18" customWidth="1"/>
    <col min="13829" max="13829" width="2" style="18" customWidth="1"/>
    <col min="13830" max="13830" width="16" style="18" customWidth="1"/>
    <col min="13831" max="13831" width="26" style="18" customWidth="1"/>
    <col min="13832" max="13832" width="9" style="18"/>
    <col min="13833" max="13833" width="9" style="18" customWidth="1"/>
    <col min="13834" max="14080" width="9" style="18"/>
    <col min="14081" max="14081" width="9.86328125" style="18" customWidth="1"/>
    <col min="14082" max="14082" width="2" style="18" customWidth="1"/>
    <col min="14083" max="14083" width="12.53125" style="18" customWidth="1"/>
    <col min="14084" max="14084" width="1.86328125" style="18" customWidth="1"/>
    <col min="14085" max="14085" width="2" style="18" customWidth="1"/>
    <col min="14086" max="14086" width="16" style="18" customWidth="1"/>
    <col min="14087" max="14087" width="26" style="18" customWidth="1"/>
    <col min="14088" max="14088" width="9" style="18"/>
    <col min="14089" max="14089" width="9" style="18" customWidth="1"/>
    <col min="14090" max="14336" width="9" style="18"/>
    <col min="14337" max="14337" width="9.86328125" style="18" customWidth="1"/>
    <col min="14338" max="14338" width="2" style="18" customWidth="1"/>
    <col min="14339" max="14339" width="12.53125" style="18" customWidth="1"/>
    <col min="14340" max="14340" width="1.86328125" style="18" customWidth="1"/>
    <col min="14341" max="14341" width="2" style="18" customWidth="1"/>
    <col min="14342" max="14342" width="16" style="18" customWidth="1"/>
    <col min="14343" max="14343" width="26" style="18" customWidth="1"/>
    <col min="14344" max="14344" width="9" style="18"/>
    <col min="14345" max="14345" width="9" style="18" customWidth="1"/>
    <col min="14346" max="14592" width="9" style="18"/>
    <col min="14593" max="14593" width="9.86328125" style="18" customWidth="1"/>
    <col min="14594" max="14594" width="2" style="18" customWidth="1"/>
    <col min="14595" max="14595" width="12.53125" style="18" customWidth="1"/>
    <col min="14596" max="14596" width="1.86328125" style="18" customWidth="1"/>
    <col min="14597" max="14597" width="2" style="18" customWidth="1"/>
    <col min="14598" max="14598" width="16" style="18" customWidth="1"/>
    <col min="14599" max="14599" width="26" style="18" customWidth="1"/>
    <col min="14600" max="14600" width="9" style="18"/>
    <col min="14601" max="14601" width="9" style="18" customWidth="1"/>
    <col min="14602" max="14848" width="9" style="18"/>
    <col min="14849" max="14849" width="9.86328125" style="18" customWidth="1"/>
    <col min="14850" max="14850" width="2" style="18" customWidth="1"/>
    <col min="14851" max="14851" width="12.53125" style="18" customWidth="1"/>
    <col min="14852" max="14852" width="1.86328125" style="18" customWidth="1"/>
    <col min="14853" max="14853" width="2" style="18" customWidth="1"/>
    <col min="14854" max="14854" width="16" style="18" customWidth="1"/>
    <col min="14855" max="14855" width="26" style="18" customWidth="1"/>
    <col min="14856" max="14856" width="9" style="18"/>
    <col min="14857" max="14857" width="9" style="18" customWidth="1"/>
    <col min="14858" max="15104" width="9" style="18"/>
    <col min="15105" max="15105" width="9.86328125" style="18" customWidth="1"/>
    <col min="15106" max="15106" width="2" style="18" customWidth="1"/>
    <col min="15107" max="15107" width="12.53125" style="18" customWidth="1"/>
    <col min="15108" max="15108" width="1.86328125" style="18" customWidth="1"/>
    <col min="15109" max="15109" width="2" style="18" customWidth="1"/>
    <col min="15110" max="15110" width="16" style="18" customWidth="1"/>
    <col min="15111" max="15111" width="26" style="18" customWidth="1"/>
    <col min="15112" max="15112" width="9" style="18"/>
    <col min="15113" max="15113" width="9" style="18" customWidth="1"/>
    <col min="15114" max="15360" width="9" style="18"/>
    <col min="15361" max="15361" width="9.86328125" style="18" customWidth="1"/>
    <col min="15362" max="15362" width="2" style="18" customWidth="1"/>
    <col min="15363" max="15363" width="12.53125" style="18" customWidth="1"/>
    <col min="15364" max="15364" width="1.86328125" style="18" customWidth="1"/>
    <col min="15365" max="15365" width="2" style="18" customWidth="1"/>
    <col min="15366" max="15366" width="16" style="18" customWidth="1"/>
    <col min="15367" max="15367" width="26" style="18" customWidth="1"/>
    <col min="15368" max="15368" width="9" style="18"/>
    <col min="15369" max="15369" width="9" style="18" customWidth="1"/>
    <col min="15370" max="15616" width="9" style="18"/>
    <col min="15617" max="15617" width="9.86328125" style="18" customWidth="1"/>
    <col min="15618" max="15618" width="2" style="18" customWidth="1"/>
    <col min="15619" max="15619" width="12.53125" style="18" customWidth="1"/>
    <col min="15620" max="15620" width="1.86328125" style="18" customWidth="1"/>
    <col min="15621" max="15621" width="2" style="18" customWidth="1"/>
    <col min="15622" max="15622" width="16" style="18" customWidth="1"/>
    <col min="15623" max="15623" width="26" style="18" customWidth="1"/>
    <col min="15624" max="15624" width="9" style="18"/>
    <col min="15625" max="15625" width="9" style="18" customWidth="1"/>
    <col min="15626" max="15872" width="9" style="18"/>
    <col min="15873" max="15873" width="9.86328125" style="18" customWidth="1"/>
    <col min="15874" max="15874" width="2" style="18" customWidth="1"/>
    <col min="15875" max="15875" width="12.53125" style="18" customWidth="1"/>
    <col min="15876" max="15876" width="1.86328125" style="18" customWidth="1"/>
    <col min="15877" max="15877" width="2" style="18" customWidth="1"/>
    <col min="15878" max="15878" width="16" style="18" customWidth="1"/>
    <col min="15879" max="15879" width="26" style="18" customWidth="1"/>
    <col min="15880" max="15880" width="9" style="18"/>
    <col min="15881" max="15881" width="9" style="18" customWidth="1"/>
    <col min="15882" max="16128" width="9" style="18"/>
    <col min="16129" max="16129" width="9.86328125" style="18" customWidth="1"/>
    <col min="16130" max="16130" width="2" style="18" customWidth="1"/>
    <col min="16131" max="16131" width="12.53125" style="18" customWidth="1"/>
    <col min="16132" max="16132" width="1.86328125" style="18" customWidth="1"/>
    <col min="16133" max="16133" width="2" style="18" customWidth="1"/>
    <col min="16134" max="16134" width="16" style="18" customWidth="1"/>
    <col min="16135" max="16135" width="26" style="18" customWidth="1"/>
    <col min="16136" max="16136" width="9" style="18"/>
    <col min="16137" max="16137" width="9" style="18" customWidth="1"/>
    <col min="16138" max="16384" width="9" style="18"/>
  </cols>
  <sheetData>
    <row r="1" spans="1:11" ht="17.25">
      <c r="C1" s="866" t="str">
        <f>UPPER(opd_pem)</f>
        <v>PEMERINTAH PROVINSI NUSA TENGGARA BARAT</v>
      </c>
      <c r="D1" s="866"/>
      <c r="E1" s="866"/>
      <c r="F1" s="866"/>
      <c r="G1" s="866"/>
      <c r="H1" s="866"/>
      <c r="I1" s="866"/>
    </row>
    <row r="2" spans="1:11" ht="47.1" customHeight="1">
      <c r="C2" s="934" t="str">
        <f>UPPER(opd_nama)</f>
        <v>BADAN PENGELOLAAN KEUANGAN DAN ASET DAERAH</v>
      </c>
      <c r="D2" s="934"/>
      <c r="E2" s="934"/>
      <c r="F2" s="934"/>
      <c r="G2" s="934"/>
      <c r="H2" s="934"/>
      <c r="I2" s="934"/>
    </row>
    <row r="3" spans="1:11" ht="17.850000000000001" customHeight="1">
      <c r="A3" s="24"/>
      <c r="B3" s="24"/>
      <c r="C3" s="868" t="str">
        <f>opd_almt</f>
        <v>Jalan Pejanggik Nomor 14 Telp.( 0370 ) 627689, 625345 Fax: 627677</v>
      </c>
      <c r="D3" s="868"/>
      <c r="E3" s="868"/>
      <c r="F3" s="868"/>
      <c r="G3" s="868"/>
      <c r="H3" s="868"/>
      <c r="I3" s="868"/>
    </row>
    <row r="4" spans="1:11" ht="5.25" customHeight="1"/>
    <row r="5" spans="1:11" ht="18">
      <c r="A5" s="899" t="s">
        <v>379</v>
      </c>
      <c r="B5" s="899"/>
      <c r="C5" s="899"/>
      <c r="D5" s="899"/>
      <c r="E5" s="899"/>
      <c r="F5" s="899"/>
      <c r="G5" s="899"/>
      <c r="H5" s="899"/>
      <c r="I5" s="899"/>
      <c r="K5" s="71" t="s">
        <v>253</v>
      </c>
    </row>
    <row r="6" spans="1:11" ht="15" customHeight="1">
      <c r="A6" s="182"/>
      <c r="B6" s="182"/>
      <c r="C6" s="182"/>
      <c r="D6" s="182"/>
      <c r="E6" s="182"/>
      <c r="F6" s="182"/>
      <c r="G6" s="182"/>
      <c r="H6" s="182"/>
      <c r="I6" s="182"/>
    </row>
    <row r="7" spans="1:11" ht="15" customHeight="1">
      <c r="A7" s="60" t="s">
        <v>294</v>
      </c>
      <c r="B7" s="60"/>
      <c r="C7" s="60" t="s">
        <v>2</v>
      </c>
      <c r="D7" s="60" t="str">
        <f>opd_nama</f>
        <v>Badan Pengelolaan Keuangan dan Aset Daerah</v>
      </c>
      <c r="E7" s="60"/>
      <c r="F7" s="60"/>
      <c r="G7" s="60"/>
      <c r="H7" s="60"/>
      <c r="I7" s="60"/>
    </row>
    <row r="8" spans="1:11" ht="15" customHeight="1">
      <c r="A8" s="37" t="s">
        <v>57</v>
      </c>
      <c r="B8" s="37"/>
      <c r="C8" s="37" t="s">
        <v>2</v>
      </c>
      <c r="D8" s="796" t="str">
        <f>ppk_jab</f>
        <v>Pejabat Pembuat Komitmen</v>
      </c>
      <c r="E8" s="37"/>
      <c r="F8" s="37"/>
      <c r="G8" s="37"/>
      <c r="H8" s="37"/>
      <c r="I8" s="37"/>
    </row>
    <row r="9" spans="1:11" ht="15" customHeight="1">
      <c r="A9" s="37" t="s">
        <v>295</v>
      </c>
      <c r="C9" s="18" t="s">
        <v>2</v>
      </c>
      <c r="D9" s="37" t="str">
        <f>paket</f>
        <v>Belanja Pemeliharaan Bangunan Gedung-Bangunan Gedung Tempat Kerja-Bangunan Gedung Kantor-Pemeliharaan Gedung Bertingkat</v>
      </c>
    </row>
    <row r="10" spans="1:11" ht="15" customHeight="1">
      <c r="A10" s="37" t="s">
        <v>14</v>
      </c>
      <c r="B10" s="64"/>
      <c r="C10" s="64" t="s">
        <v>2</v>
      </c>
      <c r="D10" s="64" t="str">
        <f>lokasi</f>
        <v>Mataram</v>
      </c>
      <c r="E10" s="64"/>
      <c r="F10" s="64"/>
      <c r="G10" s="64"/>
      <c r="H10" s="64"/>
      <c r="I10" s="64"/>
    </row>
    <row r="11" spans="1:11" ht="15" customHeight="1">
      <c r="A11" s="37" t="s">
        <v>296</v>
      </c>
      <c r="B11" s="64"/>
      <c r="C11" s="64" t="s">
        <v>2</v>
      </c>
      <c r="D11" s="612" t="str">
        <f>tahun</f>
        <v>2025</v>
      </c>
      <c r="E11" s="64"/>
      <c r="F11" s="64"/>
      <c r="G11" s="64"/>
      <c r="H11" s="64"/>
      <c r="I11" s="64"/>
    </row>
    <row r="12" spans="1:11" ht="15" customHeight="1">
      <c r="A12" s="37" t="s">
        <v>297</v>
      </c>
      <c r="B12" s="64"/>
      <c r="C12" s="64"/>
      <c r="D12" s="64"/>
      <c r="E12" s="64"/>
      <c r="F12" s="64"/>
      <c r="G12" s="64"/>
      <c r="H12" s="64"/>
      <c r="I12" s="64"/>
    </row>
    <row r="13" spans="1:11" ht="5.25" customHeight="1">
      <c r="A13" s="64"/>
      <c r="B13" s="64"/>
      <c r="C13" s="64"/>
      <c r="D13" s="64"/>
      <c r="E13" s="64"/>
      <c r="F13" s="64"/>
      <c r="G13" s="64"/>
      <c r="H13" s="64"/>
      <c r="I13" s="64"/>
    </row>
    <row r="14" spans="1:11" s="56" customFormat="1" ht="30.6" customHeight="1">
      <c r="A14" s="613" t="s">
        <v>258</v>
      </c>
      <c r="B14" s="900" t="s">
        <v>298</v>
      </c>
      <c r="C14" s="901"/>
      <c r="D14" s="901"/>
      <c r="E14" s="902"/>
      <c r="F14" s="613" t="s">
        <v>380</v>
      </c>
      <c r="G14" s="613" t="s">
        <v>381</v>
      </c>
      <c r="H14" s="614" t="s">
        <v>382</v>
      </c>
      <c r="I14" s="614" t="s">
        <v>335</v>
      </c>
      <c r="J14" s="37"/>
    </row>
    <row r="15" spans="1:11" s="56" customFormat="1" ht="15" customHeight="1">
      <c r="A15" s="615"/>
      <c r="B15" s="925"/>
      <c r="C15" s="926"/>
      <c r="D15" s="926"/>
      <c r="E15" s="927"/>
      <c r="F15" s="616"/>
      <c r="G15" s="615"/>
      <c r="H15" s="616"/>
      <c r="I15" s="616"/>
      <c r="J15" s="44"/>
    </row>
    <row r="16" spans="1:11" s="56" customFormat="1" ht="14.45" customHeight="1">
      <c r="A16" s="617" t="s">
        <v>340</v>
      </c>
      <c r="B16" s="618" t="s">
        <v>383</v>
      </c>
      <c r="C16" s="619"/>
      <c r="D16" s="619"/>
      <c r="E16" s="620"/>
      <c r="F16" s="621"/>
      <c r="G16" s="622"/>
      <c r="H16" s="623"/>
      <c r="I16" s="623"/>
      <c r="J16" s="37"/>
    </row>
    <row r="17" spans="1:10" s="56" customFormat="1" ht="15" customHeight="1">
      <c r="A17" s="624">
        <v>1</v>
      </c>
      <c r="B17" s="625" t="s">
        <v>384</v>
      </c>
      <c r="C17" s="626"/>
      <c r="D17" s="626"/>
      <c r="E17" s="620"/>
      <c r="F17" s="627" t="s">
        <v>385</v>
      </c>
      <c r="G17" s="628">
        <v>1</v>
      </c>
      <c r="H17" s="629">
        <v>200000</v>
      </c>
      <c r="I17" s="638">
        <f>H17*G17</f>
        <v>200000</v>
      </c>
      <c r="J17" s="37"/>
    </row>
    <row r="18" spans="1:10" s="56" customFormat="1" ht="15" customHeight="1">
      <c r="A18" s="624">
        <v>2</v>
      </c>
      <c r="B18" s="625" t="s">
        <v>386</v>
      </c>
      <c r="C18" s="626"/>
      <c r="D18" s="626"/>
      <c r="E18" s="630"/>
      <c r="F18" s="631" t="s">
        <v>385</v>
      </c>
      <c r="G18" s="632">
        <v>1</v>
      </c>
      <c r="H18" s="629">
        <v>300000</v>
      </c>
      <c r="I18" s="638">
        <f>H18*G18</f>
        <v>300000</v>
      </c>
      <c r="J18" s="37"/>
    </row>
    <row r="19" spans="1:10" s="56" customFormat="1" ht="15" customHeight="1">
      <c r="A19" s="624"/>
      <c r="B19" s="625"/>
      <c r="C19" s="626"/>
      <c r="D19" s="626"/>
      <c r="E19" s="630"/>
      <c r="F19" s="631"/>
      <c r="G19" s="632"/>
      <c r="H19" s="629"/>
      <c r="I19" s="638"/>
      <c r="J19" s="37"/>
    </row>
    <row r="20" spans="1:10" s="56" customFormat="1" ht="15" customHeight="1">
      <c r="A20" s="624" t="s">
        <v>352</v>
      </c>
      <c r="B20" s="618" t="s">
        <v>387</v>
      </c>
      <c r="C20" s="626"/>
      <c r="D20" s="626"/>
      <c r="E20" s="630"/>
      <c r="F20" s="631"/>
      <c r="G20" s="632"/>
      <c r="H20" s="629"/>
      <c r="I20" s="638"/>
      <c r="J20" s="37"/>
    </row>
    <row r="21" spans="1:10" s="56" customFormat="1" ht="15" customHeight="1">
      <c r="A21" s="624">
        <v>1</v>
      </c>
      <c r="B21" s="625" t="s">
        <v>388</v>
      </c>
      <c r="C21" s="626"/>
      <c r="D21" s="626"/>
      <c r="E21" s="620"/>
      <c r="F21" s="627" t="s">
        <v>389</v>
      </c>
      <c r="G21" s="628">
        <v>5</v>
      </c>
      <c r="H21" s="629">
        <v>75000</v>
      </c>
      <c r="I21" s="638">
        <f>H21*G21</f>
        <v>375000</v>
      </c>
      <c r="J21" s="37"/>
    </row>
    <row r="22" spans="1:10" s="56" customFormat="1" ht="15" customHeight="1">
      <c r="A22" s="624"/>
      <c r="B22" s="625"/>
      <c r="C22" s="626"/>
      <c r="D22" s="626"/>
      <c r="E22" s="630"/>
      <c r="F22" s="631"/>
      <c r="G22" s="632"/>
      <c r="H22" s="629"/>
      <c r="I22" s="638"/>
      <c r="J22" s="37"/>
    </row>
    <row r="23" spans="1:10" s="56" customFormat="1" ht="15" customHeight="1">
      <c r="A23" s="624" t="s">
        <v>390</v>
      </c>
      <c r="B23" s="618" t="s">
        <v>391</v>
      </c>
      <c r="C23" s="626"/>
      <c r="D23" s="626"/>
      <c r="E23" s="630"/>
      <c r="F23" s="631"/>
      <c r="G23" s="632"/>
      <c r="H23" s="629"/>
      <c r="I23" s="638"/>
      <c r="J23" s="37"/>
    </row>
    <row r="24" spans="1:10" s="56" customFormat="1" ht="15" customHeight="1">
      <c r="A24" s="624">
        <v>1</v>
      </c>
      <c r="B24" s="625" t="s">
        <v>392</v>
      </c>
      <c r="C24" s="626"/>
      <c r="D24" s="626"/>
      <c r="E24" s="630"/>
      <c r="F24" s="631" t="s">
        <v>385</v>
      </c>
      <c r="G24" s="632">
        <v>1</v>
      </c>
      <c r="H24" s="633">
        <v>4500000</v>
      </c>
      <c r="I24" s="638">
        <f t="shared" ref="I24:I38" si="0">H24*G24</f>
        <v>4500000</v>
      </c>
      <c r="J24" s="37"/>
    </row>
    <row r="25" spans="1:10" s="56" customFormat="1" ht="15" customHeight="1">
      <c r="A25" s="624">
        <v>2</v>
      </c>
      <c r="B25" s="625" t="s">
        <v>393</v>
      </c>
      <c r="C25" s="626"/>
      <c r="D25" s="626"/>
      <c r="E25" s="630"/>
      <c r="F25" s="631" t="s">
        <v>394</v>
      </c>
      <c r="G25" s="634">
        <v>168.58</v>
      </c>
      <c r="H25" s="633">
        <v>19719.974999999999</v>
      </c>
      <c r="I25" s="638">
        <f t="shared" si="0"/>
        <v>3324393.3854999999</v>
      </c>
      <c r="J25" s="37"/>
    </row>
    <row r="26" spans="1:10" s="56" customFormat="1" ht="15" customHeight="1">
      <c r="A26" s="624">
        <v>3</v>
      </c>
      <c r="B26" s="625" t="s">
        <v>395</v>
      </c>
      <c r="C26" s="626"/>
      <c r="D26" s="626"/>
      <c r="E26" s="630"/>
      <c r="F26" s="635" t="s">
        <v>394</v>
      </c>
      <c r="G26" s="636">
        <v>842.91</v>
      </c>
      <c r="H26" s="633">
        <v>40683.290999999997</v>
      </c>
      <c r="I26" s="638">
        <f t="shared" si="0"/>
        <v>34292352.816809997</v>
      </c>
      <c r="J26" s="37"/>
    </row>
    <row r="27" spans="1:10" s="56" customFormat="1" ht="15" customHeight="1">
      <c r="A27" s="624">
        <v>4</v>
      </c>
      <c r="B27" s="625" t="s">
        <v>396</v>
      </c>
      <c r="C27" s="626"/>
      <c r="D27" s="626"/>
      <c r="E27" s="620"/>
      <c r="F27" s="635" t="s">
        <v>394</v>
      </c>
      <c r="G27" s="637">
        <v>419</v>
      </c>
      <c r="H27" s="633">
        <v>47607.593000000001</v>
      </c>
      <c r="I27" s="638">
        <f t="shared" si="0"/>
        <v>19947581.467</v>
      </c>
      <c r="J27" s="37"/>
    </row>
    <row r="28" spans="1:10" s="56" customFormat="1" ht="15" hidden="1" customHeight="1">
      <c r="A28" s="617"/>
      <c r="B28" s="618"/>
      <c r="C28" s="619"/>
      <c r="D28" s="619"/>
      <c r="E28" s="620"/>
      <c r="F28" s="627"/>
      <c r="G28" s="628"/>
      <c r="H28" s="638"/>
      <c r="I28" s="638"/>
      <c r="J28" s="37"/>
    </row>
    <row r="29" spans="1:10" s="56" customFormat="1" ht="15" hidden="1" customHeight="1">
      <c r="A29" s="617"/>
      <c r="B29" s="625"/>
      <c r="C29" s="626"/>
      <c r="D29" s="626"/>
      <c r="E29" s="630"/>
      <c r="F29" s="631"/>
      <c r="G29" s="632"/>
      <c r="H29" s="639"/>
      <c r="I29" s="638">
        <f t="shared" si="0"/>
        <v>0</v>
      </c>
      <c r="J29" s="37"/>
    </row>
    <row r="30" spans="1:10" s="56" customFormat="1" ht="15" hidden="1" customHeight="1">
      <c r="A30" s="617"/>
      <c r="B30" s="625"/>
      <c r="C30" s="626"/>
      <c r="D30" s="626"/>
      <c r="E30" s="630"/>
      <c r="F30" s="631"/>
      <c r="G30" s="632"/>
      <c r="H30" s="639"/>
      <c r="I30" s="638">
        <f t="shared" si="0"/>
        <v>0</v>
      </c>
      <c r="J30" s="37"/>
    </row>
    <row r="31" spans="1:10" s="56" customFormat="1" ht="15" hidden="1" customHeight="1">
      <c r="A31" s="617"/>
      <c r="B31" s="618"/>
      <c r="C31" s="619"/>
      <c r="D31" s="619"/>
      <c r="E31" s="620"/>
      <c r="F31" s="627"/>
      <c r="G31" s="628"/>
      <c r="H31" s="640"/>
      <c r="I31" s="638"/>
      <c r="J31" s="37"/>
    </row>
    <row r="32" spans="1:10" s="56" customFormat="1" ht="15" hidden="1" customHeight="1">
      <c r="A32" s="617"/>
      <c r="B32" s="625"/>
      <c r="C32" s="626"/>
      <c r="D32" s="626"/>
      <c r="E32" s="630"/>
      <c r="F32" s="631"/>
      <c r="G32" s="632"/>
      <c r="H32" s="639"/>
      <c r="I32" s="638">
        <f t="shared" si="0"/>
        <v>0</v>
      </c>
      <c r="J32" s="37"/>
    </row>
    <row r="33" spans="1:12" s="56" customFormat="1" ht="15" hidden="1" customHeight="1">
      <c r="A33" s="617"/>
      <c r="B33" s="641"/>
      <c r="C33" s="626"/>
      <c r="D33" s="626"/>
      <c r="E33" s="630"/>
      <c r="F33" s="631"/>
      <c r="G33" s="632"/>
      <c r="H33" s="639"/>
      <c r="I33" s="638">
        <f t="shared" si="0"/>
        <v>0</v>
      </c>
      <c r="J33" s="37"/>
    </row>
    <row r="34" spans="1:12" s="56" customFormat="1" ht="15" hidden="1" customHeight="1">
      <c r="A34" s="617"/>
      <c r="B34" s="641"/>
      <c r="C34" s="626"/>
      <c r="D34" s="626"/>
      <c r="E34" s="630"/>
      <c r="F34" s="631"/>
      <c r="G34" s="632"/>
      <c r="H34" s="639"/>
      <c r="I34" s="638">
        <f t="shared" si="0"/>
        <v>0</v>
      </c>
      <c r="J34" s="37"/>
    </row>
    <row r="35" spans="1:12" s="56" customFormat="1" ht="15" hidden="1" customHeight="1">
      <c r="A35" s="617"/>
      <c r="B35" s="642"/>
      <c r="C35" s="626"/>
      <c r="D35" s="626"/>
      <c r="E35" s="630"/>
      <c r="F35" s="627"/>
      <c r="G35" s="628"/>
      <c r="H35" s="640"/>
      <c r="I35" s="638"/>
      <c r="J35" s="37"/>
    </row>
    <row r="36" spans="1:12" s="56" customFormat="1" ht="15" hidden="1" customHeight="1">
      <c r="A36" s="624"/>
      <c r="B36" s="641"/>
      <c r="C36" s="626"/>
      <c r="D36" s="626"/>
      <c r="E36" s="630"/>
      <c r="F36" s="631"/>
      <c r="G36" s="632"/>
      <c r="H36" s="639"/>
      <c r="I36" s="638">
        <f t="shared" si="0"/>
        <v>0</v>
      </c>
      <c r="J36" s="37"/>
    </row>
    <row r="37" spans="1:12" s="56" customFormat="1" ht="15" hidden="1" customHeight="1">
      <c r="A37" s="624"/>
      <c r="B37" s="641"/>
      <c r="C37" s="626"/>
      <c r="D37" s="626"/>
      <c r="E37" s="630"/>
      <c r="F37" s="631"/>
      <c r="G37" s="632"/>
      <c r="H37" s="639"/>
      <c r="I37" s="638">
        <f t="shared" si="0"/>
        <v>0</v>
      </c>
      <c r="J37" s="37"/>
    </row>
    <row r="38" spans="1:12" s="56" customFormat="1" ht="15" hidden="1" customHeight="1">
      <c r="A38" s="624"/>
      <c r="B38" s="641"/>
      <c r="C38" s="626"/>
      <c r="D38" s="626"/>
      <c r="E38" s="630"/>
      <c r="F38" s="631"/>
      <c r="G38" s="632"/>
      <c r="H38" s="639"/>
      <c r="I38" s="638">
        <f t="shared" si="0"/>
        <v>0</v>
      </c>
      <c r="J38" s="37"/>
    </row>
    <row r="39" spans="1:12" s="56" customFormat="1" ht="15" customHeight="1">
      <c r="A39" s="624"/>
      <c r="B39" s="641"/>
      <c r="C39" s="626"/>
      <c r="D39" s="626"/>
      <c r="E39" s="630"/>
      <c r="F39" s="631"/>
      <c r="G39" s="632"/>
      <c r="H39" s="639"/>
      <c r="I39" s="638"/>
      <c r="J39" s="37"/>
    </row>
    <row r="40" spans="1:12" s="56" customFormat="1" ht="15" hidden="1" customHeight="1">
      <c r="A40" s="624" t="str">
        <f t="shared" ref="A40:A45" si="1">IF(AND(A39&lt;&gt;0,B40&lt;&gt;0),A39+1,"")</f>
        <v/>
      </c>
      <c r="B40" s="643"/>
      <c r="C40" s="644"/>
      <c r="D40" s="644"/>
      <c r="E40" s="645"/>
      <c r="F40" s="627"/>
      <c r="G40" s="628"/>
      <c r="H40" s="638"/>
      <c r="I40" s="638"/>
      <c r="J40" s="37"/>
    </row>
    <row r="41" spans="1:12" s="56" customFormat="1" ht="15" hidden="1" customHeight="1">
      <c r="A41" s="617"/>
      <c r="B41" s="646"/>
      <c r="C41" s="647"/>
      <c r="D41" s="647"/>
      <c r="E41" s="648"/>
      <c r="F41" s="621"/>
      <c r="G41" s="622"/>
      <c r="H41" s="623"/>
      <c r="I41" s="623"/>
      <c r="J41" s="37"/>
    </row>
    <row r="42" spans="1:12" s="56" customFormat="1" ht="15" hidden="1" customHeight="1">
      <c r="A42" s="624"/>
      <c r="B42" s="625"/>
      <c r="C42" s="649"/>
      <c r="D42" s="649"/>
      <c r="E42" s="650"/>
      <c r="F42" s="627"/>
      <c r="G42" s="628"/>
      <c r="H42" s="638"/>
      <c r="I42" s="638"/>
      <c r="J42" s="37"/>
    </row>
    <row r="43" spans="1:12" s="56" customFormat="1" ht="15" customHeight="1">
      <c r="A43" s="624" t="str">
        <f t="shared" si="1"/>
        <v/>
      </c>
      <c r="B43" s="903"/>
      <c r="C43" s="904"/>
      <c r="D43" s="904"/>
      <c r="E43" s="904"/>
      <c r="F43" s="92"/>
      <c r="G43" s="93"/>
      <c r="H43" s="651" t="s">
        <v>376</v>
      </c>
      <c r="I43" s="95">
        <f>SUM(I16:I39)</f>
        <v>62939327.669309996</v>
      </c>
      <c r="J43" s="37"/>
      <c r="K43" s="112"/>
    </row>
    <row r="44" spans="1:12" s="56" customFormat="1" ht="15" customHeight="1">
      <c r="A44" s="652" t="str">
        <f t="shared" si="1"/>
        <v/>
      </c>
      <c r="B44" s="903"/>
      <c r="C44" s="904"/>
      <c r="D44" s="904"/>
      <c r="E44" s="904"/>
      <c r="F44" s="92"/>
      <c r="G44" s="94" t="s">
        <v>397</v>
      </c>
      <c r="H44" s="653">
        <v>0.11</v>
      </c>
      <c r="I44" s="655">
        <f>I43*H44</f>
        <v>6923326.0436240993</v>
      </c>
      <c r="J44" s="37"/>
    </row>
    <row r="45" spans="1:12" s="56" customFormat="1" ht="15" customHeight="1">
      <c r="A45" s="654" t="str">
        <f t="shared" si="1"/>
        <v/>
      </c>
      <c r="B45" s="903"/>
      <c r="C45" s="904"/>
      <c r="D45" s="904"/>
      <c r="E45" s="904"/>
      <c r="F45" s="92"/>
      <c r="G45" s="93"/>
      <c r="H45" s="651" t="s">
        <v>398</v>
      </c>
      <c r="I45" s="95">
        <f>ROUNDDOWN(I43+I44,-3)</f>
        <v>69862000</v>
      </c>
      <c r="J45" s="37"/>
      <c r="K45" s="112" t="str">
        <f>IF(I45=hps,"sesuai","cek hps")</f>
        <v>sesuai</v>
      </c>
      <c r="L45" s="656">
        <f>hps</f>
        <v>69862000</v>
      </c>
    </row>
    <row r="46" spans="1:12" s="56" customFormat="1" ht="15" customHeight="1">
      <c r="A46" s="37" t="s">
        <v>377</v>
      </c>
      <c r="B46" s="64"/>
      <c r="C46" s="64" t="s">
        <v>2</v>
      </c>
      <c r="D46" s="928" t="str">
        <f>Uang!A141</f>
        <v>Enam Puluh Sembilan Juta Delapan Ratus Enam Puluh Dua Ribu Rupiah</v>
      </c>
      <c r="E46" s="928"/>
      <c r="F46" s="928"/>
      <c r="G46" s="928"/>
      <c r="H46" s="928"/>
      <c r="I46" s="928"/>
      <c r="J46" s="37"/>
    </row>
    <row r="47" spans="1:12" s="56" customFormat="1" ht="5.25" customHeight="1">
      <c r="A47" s="37"/>
      <c r="B47" s="64"/>
      <c r="C47" s="64"/>
      <c r="D47" s="64"/>
      <c r="E47" s="64"/>
      <c r="F47" s="44"/>
      <c r="G47" s="73"/>
      <c r="H47" s="74"/>
      <c r="I47" s="74"/>
      <c r="J47" s="37"/>
    </row>
    <row r="48" spans="1:12" ht="15" customHeight="1">
      <c r="A48" s="37" t="s">
        <v>378</v>
      </c>
      <c r="B48" s="37"/>
      <c r="C48" s="38"/>
      <c r="D48" s="38"/>
      <c r="E48" s="37"/>
      <c r="F48" s="37"/>
      <c r="G48" s="37"/>
      <c r="H48" s="37"/>
      <c r="I48" s="37"/>
    </row>
    <row r="49" spans="1:9" ht="5.25" customHeight="1">
      <c r="A49" s="37"/>
      <c r="B49" s="37"/>
      <c r="C49" s="38"/>
      <c r="D49" s="38"/>
      <c r="E49" s="37"/>
      <c r="F49" s="37"/>
      <c r="G49" s="37"/>
      <c r="H49" s="37"/>
      <c r="I49" s="37"/>
    </row>
    <row r="50" spans="1:9" ht="15" customHeight="1">
      <c r="C50" s="43"/>
      <c r="D50" s="43"/>
      <c r="G50" s="54" t="str">
        <f>Input!D35&amp;", "&amp;Input!H76</f>
        <v>Mataram, 6 Oktober 2025</v>
      </c>
      <c r="H50" s="53"/>
      <c r="I50" s="53"/>
    </row>
    <row r="51" spans="1:9" ht="15" customHeight="1">
      <c r="C51" s="43"/>
      <c r="D51" s="43"/>
      <c r="G51" s="67" t="str">
        <f>ppk_jab</f>
        <v>Pejabat Pembuat Komitmen</v>
      </c>
      <c r="H51" s="53"/>
      <c r="I51" s="53"/>
    </row>
    <row r="52" spans="1:9" ht="15" customHeight="1">
      <c r="C52" s="43"/>
      <c r="D52" s="43"/>
      <c r="G52" s="54"/>
      <c r="H52" s="53"/>
      <c r="I52" s="53"/>
    </row>
    <row r="53" spans="1:9" ht="15" customHeight="1">
      <c r="C53" s="43"/>
      <c r="D53" s="43"/>
      <c r="G53" s="54"/>
      <c r="H53" s="53"/>
      <c r="I53" s="53"/>
    </row>
    <row r="54" spans="1:9" ht="15" customHeight="1">
      <c r="C54" s="43"/>
      <c r="D54" s="43"/>
      <c r="G54" s="44"/>
      <c r="H54" s="53"/>
      <c r="I54" s="53"/>
    </row>
    <row r="55" spans="1:9" ht="15" customHeight="1">
      <c r="C55" s="43"/>
      <c r="D55" s="43"/>
      <c r="G55" s="44"/>
      <c r="H55" s="53"/>
      <c r="I55" s="53"/>
    </row>
    <row r="56" spans="1:9" ht="15" customHeight="1">
      <c r="C56" s="43"/>
      <c r="D56" s="43"/>
      <c r="G56" s="55" t="str">
        <f>ppk_nama</f>
        <v>Ika Kurnia Mustika, ST, MT</v>
      </c>
      <c r="H56" s="53"/>
      <c r="I56" s="53"/>
    </row>
    <row r="57" spans="1:9" ht="15" customHeight="1">
      <c r="C57" s="43"/>
      <c r="D57" s="43"/>
      <c r="G57" s="44" t="str">
        <f>"NIP. "&amp;ppk_nip</f>
        <v>NIP. 19791117 200901 1 006</v>
      </c>
      <c r="H57" s="53"/>
      <c r="I57" s="53"/>
    </row>
    <row r="58" spans="1:9" ht="5.25" customHeight="1">
      <c r="C58" s="43"/>
      <c r="D58" s="43"/>
      <c r="G58" s="44"/>
      <c r="H58" s="53"/>
      <c r="I58" s="53"/>
    </row>
    <row r="59" spans="1:9" ht="15" customHeight="1">
      <c r="C59" s="43"/>
      <c r="D59" s="43"/>
      <c r="G59" s="44"/>
      <c r="H59" s="53"/>
      <c r="I59" s="53"/>
    </row>
    <row r="60" spans="1:9" ht="15" customHeight="1">
      <c r="C60" s="43"/>
      <c r="D60" s="43"/>
      <c r="G60" s="44"/>
      <c r="H60" s="53"/>
      <c r="I60" s="53"/>
    </row>
    <row r="62" spans="1:9" ht="60" customHeight="1"/>
  </sheetData>
  <mergeCells count="10">
    <mergeCell ref="B15:E15"/>
    <mergeCell ref="B43:E43"/>
    <mergeCell ref="B44:E44"/>
    <mergeCell ref="B45:E45"/>
    <mergeCell ref="D46:I46"/>
    <mergeCell ref="C1:I1"/>
    <mergeCell ref="C2:I2"/>
    <mergeCell ref="C3:I3"/>
    <mergeCell ref="A5:I5"/>
    <mergeCell ref="B14:E14"/>
  </mergeCells>
  <hyperlinks>
    <hyperlink ref="K5" location="Input!A72" display="balik ke input" xr:uid="{00000000-0004-0000-0500-000000000000}"/>
  </hyperlinks>
  <printOptions horizontalCentered="1"/>
  <pageMargins left="0.78740157480314998" right="0.55118110236220497" top="0.39370078740157499" bottom="0.78740157480314998" header="0.196850393700787" footer="0.196850393700787"/>
  <pageSetup paperSize="9" scale="91" orientation="portrait" horizontalDpi="200" verticalDpi="300" r:id="rId1"/>
  <colBreaks count="1" manualBreakCount="1">
    <brk id="9" max="5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B0F0"/>
  </sheetPr>
  <dimension ref="A1:R334"/>
  <sheetViews>
    <sheetView view="pageBreakPreview" zoomScale="115" zoomScaleNormal="100" workbookViewId="0">
      <pane ySplit="1" topLeftCell="A11" activePane="bottomLeft" state="frozenSplit"/>
      <selection pane="bottomLeft" activeCell="G15" sqref="G15:M17"/>
    </sheetView>
  </sheetViews>
  <sheetFormatPr defaultColWidth="9" defaultRowHeight="14.25"/>
  <cols>
    <col min="1" max="1" width="3.6640625" style="537" customWidth="1"/>
    <col min="2" max="2" width="2.53125" style="537" customWidth="1"/>
    <col min="3" max="3" width="3" style="537" customWidth="1"/>
    <col min="4" max="4" width="2.53125" style="537" customWidth="1"/>
    <col min="5" max="5" width="5.796875" style="537" customWidth="1"/>
    <col min="6" max="6" width="7.53125" style="537" customWidth="1"/>
    <col min="7" max="7" width="12" style="537" customWidth="1"/>
    <col min="8" max="8" width="6" style="537" customWidth="1"/>
    <col min="9" max="9" width="1.6640625" style="537" customWidth="1"/>
    <col min="10" max="10" width="6" style="537" customWidth="1"/>
    <col min="11" max="11" width="12.796875" style="537" customWidth="1"/>
    <col min="12" max="12" width="2" style="537" customWidth="1"/>
    <col min="13" max="13" width="21.33203125" style="537" customWidth="1"/>
    <col min="14" max="14" width="1.53125" style="537" customWidth="1"/>
    <col min="15" max="15" width="7.6640625" style="537" customWidth="1"/>
    <col min="16" max="16384" width="9" style="537"/>
  </cols>
  <sheetData>
    <row r="1" spans="1:18" ht="18">
      <c r="A1" s="538" t="s">
        <v>399</v>
      </c>
      <c r="B1" s="539"/>
      <c r="C1" s="539"/>
      <c r="D1" s="539"/>
      <c r="E1" s="539"/>
      <c r="F1" s="539"/>
      <c r="G1" s="540" t="s">
        <v>400</v>
      </c>
      <c r="H1" s="541" t="s">
        <v>401</v>
      </c>
    </row>
    <row r="3" spans="1:18" s="18" customFormat="1" ht="18">
      <c r="D3" s="542"/>
      <c r="E3" s="938" t="str">
        <f>UPPER(opd_pem)</f>
        <v>PEMERINTAH PROVINSI NUSA TENGGARA BARAT</v>
      </c>
      <c r="F3" s="938"/>
      <c r="G3" s="938"/>
      <c r="H3" s="938"/>
      <c r="I3" s="938"/>
      <c r="J3" s="938"/>
      <c r="K3" s="938"/>
      <c r="L3" s="938"/>
      <c r="M3" s="938"/>
    </row>
    <row r="4" spans="1:18" s="18" customFormat="1" ht="47.1" customHeight="1">
      <c r="D4" s="543"/>
      <c r="E4" s="934" t="str">
        <f>UPPER(opd_nama)</f>
        <v>BADAN PENGELOLAAN KEUANGAN DAN ASET DAERAH</v>
      </c>
      <c r="F4" s="934"/>
      <c r="G4" s="934"/>
      <c r="H4" s="934"/>
      <c r="I4" s="934"/>
      <c r="J4" s="934"/>
      <c r="K4" s="934"/>
      <c r="L4" s="934"/>
      <c r="M4" s="934"/>
    </row>
    <row r="5" spans="1:18" s="18" customFormat="1" ht="15" customHeight="1">
      <c r="A5" s="24"/>
      <c r="B5" s="24"/>
      <c r="C5" s="24"/>
      <c r="D5" s="544"/>
      <c r="E5" s="939" t="str">
        <f>opd_almt</f>
        <v>Jalan Pejanggik Nomor 14 Telp.( 0370 ) 627689, 625345 Fax: 627677</v>
      </c>
      <c r="F5" s="939"/>
      <c r="G5" s="939"/>
      <c r="H5" s="939"/>
      <c r="I5" s="939"/>
      <c r="J5" s="939"/>
      <c r="K5" s="939"/>
      <c r="L5" s="939"/>
      <c r="M5" s="939"/>
      <c r="N5" s="568"/>
      <c r="O5" s="568"/>
      <c r="P5" s="568"/>
      <c r="Q5" s="568"/>
      <c r="R5" s="568"/>
    </row>
    <row r="6" spans="1:18" ht="15" customHeight="1">
      <c r="O6" s="537" t="s">
        <v>402</v>
      </c>
    </row>
    <row r="7" spans="1:18" ht="15" customHeight="1">
      <c r="A7" s="970" t="s">
        <v>403</v>
      </c>
      <c r="B7" s="971"/>
      <c r="C7" s="971"/>
      <c r="D7" s="971"/>
      <c r="E7" s="971"/>
      <c r="F7" s="972"/>
      <c r="G7" s="545" t="s">
        <v>404</v>
      </c>
      <c r="H7" s="546"/>
      <c r="I7" s="569" t="s">
        <v>2</v>
      </c>
      <c r="J7" s="968" t="str">
        <f>opd_nama</f>
        <v>Badan Pengelolaan Keuangan dan Aset Daerah</v>
      </c>
      <c r="K7" s="968"/>
      <c r="L7" s="968"/>
      <c r="M7" s="969"/>
      <c r="O7" s="71" t="s">
        <v>253</v>
      </c>
    </row>
    <row r="8" spans="1:18" ht="15" customHeight="1">
      <c r="A8" s="973"/>
      <c r="B8" s="974"/>
      <c r="C8" s="974"/>
      <c r="D8" s="974"/>
      <c r="E8" s="974"/>
      <c r="F8" s="975"/>
      <c r="G8" s="547"/>
      <c r="I8" s="571"/>
      <c r="J8" s="966"/>
      <c r="K8" s="966"/>
      <c r="L8" s="966"/>
      <c r="M8" s="967"/>
    </row>
    <row r="9" spans="1:18" ht="15" customHeight="1">
      <c r="A9" s="973"/>
      <c r="B9" s="974"/>
      <c r="C9" s="974"/>
      <c r="D9" s="974"/>
      <c r="E9" s="974"/>
      <c r="F9" s="975"/>
      <c r="G9" s="545" t="s">
        <v>405</v>
      </c>
      <c r="H9" s="546"/>
      <c r="I9" s="569"/>
      <c r="J9" s="546"/>
      <c r="K9" s="546"/>
      <c r="L9" s="546"/>
      <c r="M9" s="573"/>
    </row>
    <row r="10" spans="1:18" ht="15" customHeight="1">
      <c r="A10" s="973"/>
      <c r="B10" s="974"/>
      <c r="C10" s="974"/>
      <c r="D10" s="974"/>
      <c r="E10" s="974"/>
      <c r="F10" s="975"/>
      <c r="G10" s="547" t="s">
        <v>406</v>
      </c>
      <c r="I10" s="571" t="s">
        <v>2</v>
      </c>
      <c r="J10" s="537" t="str">
        <f>IF($G$1="Kosong","________",Input!D91)</f>
        <v>________</v>
      </c>
      <c r="M10" s="574"/>
    </row>
    <row r="11" spans="1:18" ht="15" customHeight="1">
      <c r="A11" s="973"/>
      <c r="B11" s="974"/>
      <c r="C11" s="974"/>
      <c r="D11" s="974"/>
      <c r="E11" s="974"/>
      <c r="F11" s="975"/>
      <c r="G11" s="547" t="s">
        <v>407</v>
      </c>
      <c r="I11" s="571" t="s">
        <v>2</v>
      </c>
      <c r="J11" s="940" t="str">
        <f>IF($G$1="Kosong","________",Input!H91)</f>
        <v>________</v>
      </c>
      <c r="K11" s="940"/>
      <c r="L11" s="940"/>
      <c r="M11" s="941"/>
    </row>
    <row r="12" spans="1:18" ht="15" customHeight="1">
      <c r="A12" s="976" t="s">
        <v>408</v>
      </c>
      <c r="B12" s="977"/>
      <c r="C12" s="977"/>
      <c r="D12" s="977"/>
      <c r="E12" s="977"/>
      <c r="F12" s="978"/>
      <c r="G12" s="985" t="str">
        <f>ppk_nama</f>
        <v>Ika Kurnia Mustika, ST, MT</v>
      </c>
      <c r="H12" s="986"/>
      <c r="I12" s="986"/>
      <c r="J12" s="986"/>
      <c r="K12" s="986"/>
      <c r="L12" s="986"/>
      <c r="M12" s="987"/>
    </row>
    <row r="13" spans="1:18" ht="15" customHeight="1">
      <c r="A13" s="979"/>
      <c r="B13" s="980"/>
      <c r="C13" s="980"/>
      <c r="D13" s="980"/>
      <c r="E13" s="980"/>
      <c r="F13" s="981"/>
      <c r="G13" s="988"/>
      <c r="H13" s="989"/>
      <c r="I13" s="989"/>
      <c r="J13" s="989"/>
      <c r="K13" s="989"/>
      <c r="L13" s="989"/>
      <c r="M13" s="990"/>
    </row>
    <row r="14" spans="1:18" ht="15" customHeight="1">
      <c r="A14" s="982"/>
      <c r="B14" s="983"/>
      <c r="C14" s="983"/>
      <c r="D14" s="983"/>
      <c r="E14" s="983"/>
      <c r="F14" s="984"/>
      <c r="G14" s="991"/>
      <c r="H14" s="992"/>
      <c r="I14" s="992"/>
      <c r="J14" s="992"/>
      <c r="K14" s="992"/>
      <c r="L14" s="992"/>
      <c r="M14" s="993"/>
    </row>
    <row r="15" spans="1:18" ht="15" customHeight="1">
      <c r="A15" s="970" t="s">
        <v>409</v>
      </c>
      <c r="B15" s="971"/>
      <c r="C15" s="971"/>
      <c r="D15" s="971"/>
      <c r="E15" s="971"/>
      <c r="F15" s="972"/>
      <c r="G15" s="985" t="str">
        <f>IF($G$1="Kosong","________",bu_nama)</f>
        <v>________</v>
      </c>
      <c r="H15" s="986"/>
      <c r="I15" s="986"/>
      <c r="J15" s="986"/>
      <c r="K15" s="986"/>
      <c r="L15" s="986"/>
      <c r="M15" s="987"/>
    </row>
    <row r="16" spans="1:18" ht="15" customHeight="1">
      <c r="A16" s="973"/>
      <c r="B16" s="974"/>
      <c r="C16" s="974"/>
      <c r="D16" s="974"/>
      <c r="E16" s="974"/>
      <c r="F16" s="975"/>
      <c r="G16" s="988"/>
      <c r="H16" s="989"/>
      <c r="I16" s="989"/>
      <c r="J16" s="989"/>
      <c r="K16" s="989"/>
      <c r="L16" s="989"/>
      <c r="M16" s="990"/>
    </row>
    <row r="17" spans="1:15" ht="15" customHeight="1">
      <c r="A17" s="996"/>
      <c r="B17" s="997"/>
      <c r="C17" s="997"/>
      <c r="D17" s="997"/>
      <c r="E17" s="997"/>
      <c r="F17" s="998"/>
      <c r="G17" s="991"/>
      <c r="H17" s="992"/>
      <c r="I17" s="992"/>
      <c r="J17" s="992"/>
      <c r="K17" s="992"/>
      <c r="L17" s="992"/>
      <c r="M17" s="993"/>
      <c r="O17" s="586"/>
    </row>
    <row r="18" spans="1:15" ht="15" customHeight="1">
      <c r="A18" s="999" t="s">
        <v>410</v>
      </c>
      <c r="B18" s="1000"/>
      <c r="C18" s="1000"/>
      <c r="D18" s="1000"/>
      <c r="E18" s="1000"/>
      <c r="F18" s="1001"/>
      <c r="G18" s="549" t="str">
        <f>"NOMOR DAN TANGGAL SURAT UNDANGAN "&amp;UPPER(met_pil)&amp;":"</f>
        <v>NOMOR DAN TANGGAL SURAT UNDANGAN PENGADAAN LANGSUNG:</v>
      </c>
      <c r="H18" s="550"/>
      <c r="I18" s="580"/>
      <c r="J18" s="550"/>
      <c r="K18" s="550"/>
      <c r="L18" s="550"/>
      <c r="M18" s="581"/>
    </row>
    <row r="19" spans="1:15" ht="15" customHeight="1">
      <c r="A19" s="1002"/>
      <c r="B19" s="1003"/>
      <c r="C19" s="1003"/>
      <c r="D19" s="1003"/>
      <c r="E19" s="1003"/>
      <c r="F19" s="1004"/>
      <c r="G19" s="551" t="s">
        <v>237</v>
      </c>
      <c r="H19" s="552"/>
      <c r="I19" s="582" t="s">
        <v>2</v>
      </c>
      <c r="J19" s="552" t="str">
        <f>IF($G$1="Kosong","________",Input!D79)</f>
        <v>________</v>
      </c>
      <c r="K19" s="552"/>
      <c r="L19" s="552"/>
      <c r="M19" s="583"/>
    </row>
    <row r="20" spans="1:15" ht="15" customHeight="1">
      <c r="A20" s="958" t="str">
        <f>paket</f>
        <v>Belanja Pemeliharaan Bangunan Gedung-Bangunan Gedung Tempat Kerja-Bangunan Gedung Kantor-Pemeliharaan Gedung Bertingkat</v>
      </c>
      <c r="B20" s="959"/>
      <c r="C20" s="959"/>
      <c r="D20" s="959"/>
      <c r="E20" s="959"/>
      <c r="F20" s="960"/>
      <c r="G20" s="551" t="s">
        <v>239</v>
      </c>
      <c r="H20" s="552"/>
      <c r="I20" s="582" t="s">
        <v>2</v>
      </c>
      <c r="J20" s="942" t="str">
        <f>IF($G$1="Kosong","________",Input!H79)</f>
        <v>________</v>
      </c>
      <c r="K20" s="942"/>
      <c r="L20" s="942"/>
      <c r="M20" s="943"/>
    </row>
    <row r="21" spans="1:15" ht="15" customHeight="1">
      <c r="A21" s="958"/>
      <c r="B21" s="959"/>
      <c r="C21" s="959"/>
      <c r="D21" s="959"/>
      <c r="E21" s="959"/>
      <c r="F21" s="960"/>
      <c r="G21" s="549" t="str">
        <f>"NOMOR DAN TANGGAL BERITA ACARA HASIL "&amp;UPPER(met_pil)&amp;":"</f>
        <v>NOMOR DAN TANGGAL BERITA ACARA HASIL PENGADAAN LANGSUNG:</v>
      </c>
      <c r="H21" s="550"/>
      <c r="I21" s="580"/>
      <c r="J21" s="550"/>
      <c r="K21" s="550"/>
      <c r="L21" s="550"/>
      <c r="M21" s="581"/>
    </row>
    <row r="22" spans="1:15" ht="15" customHeight="1">
      <c r="A22" s="958"/>
      <c r="B22" s="959"/>
      <c r="C22" s="959"/>
      <c r="D22" s="959"/>
      <c r="E22" s="959"/>
      <c r="F22" s="960"/>
      <c r="G22" s="551" t="s">
        <v>237</v>
      </c>
      <c r="H22" s="552"/>
      <c r="I22" s="582" t="s">
        <v>2</v>
      </c>
      <c r="J22" s="552" t="str">
        <f>IF($G$1="Kosong","________",Input!D86)</f>
        <v>________</v>
      </c>
      <c r="K22" s="552"/>
      <c r="L22" s="552"/>
      <c r="M22" s="583"/>
    </row>
    <row r="23" spans="1:15" ht="15" customHeight="1">
      <c r="A23" s="958"/>
      <c r="B23" s="959"/>
      <c r="C23" s="959"/>
      <c r="D23" s="959"/>
      <c r="E23" s="959"/>
      <c r="F23" s="960"/>
      <c r="G23" s="551" t="s">
        <v>239</v>
      </c>
      <c r="H23" s="552"/>
      <c r="I23" s="582" t="s">
        <v>2</v>
      </c>
      <c r="J23" s="552" t="str">
        <f>IF($G$1="Kosong","________",Input!H86)</f>
        <v>________</v>
      </c>
      <c r="K23" s="596"/>
      <c r="L23" s="596"/>
      <c r="M23" s="604"/>
    </row>
    <row r="24" spans="1:15" ht="15" customHeight="1">
      <c r="A24" s="556" t="s">
        <v>411</v>
      </c>
      <c r="B24" s="557"/>
      <c r="C24" s="557"/>
      <c r="D24" s="557"/>
      <c r="E24" s="557"/>
      <c r="F24" s="557"/>
      <c r="G24" s="550"/>
      <c r="H24" s="550"/>
      <c r="I24" s="580"/>
      <c r="J24" s="550"/>
      <c r="K24" s="587"/>
      <c r="L24" s="587"/>
      <c r="M24" s="588"/>
    </row>
    <row r="25" spans="1:15" ht="15" customHeight="1">
      <c r="A25" s="995" t="str">
        <f>"dibebankan atas "&amp;dana&amp;" "&amp;opd_nama&amp;" Tahun Anggaran "&amp;tahun&amp;" untuk mata anggaran kegiatan "&amp;Input!D131</f>
        <v>dibebankan atas DPA Badan Pengelolaan Keuangan dan Aset Daerah Tahun Anggaran 2025 untuk mata anggaran kegiatan 5.1.02.02.09.0014</v>
      </c>
      <c r="B25" s="953"/>
      <c r="C25" s="953"/>
      <c r="D25" s="953"/>
      <c r="E25" s="953"/>
      <c r="F25" s="953"/>
      <c r="G25" s="953"/>
      <c r="H25" s="953"/>
      <c r="I25" s="953"/>
      <c r="J25" s="953"/>
      <c r="K25" s="953"/>
      <c r="L25" s="953"/>
      <c r="M25" s="954"/>
    </row>
    <row r="26" spans="1:15" ht="15" customHeight="1">
      <c r="A26" s="995"/>
      <c r="B26" s="953"/>
      <c r="C26" s="953"/>
      <c r="D26" s="953"/>
      <c r="E26" s="953"/>
      <c r="F26" s="953"/>
      <c r="G26" s="953"/>
      <c r="H26" s="953"/>
      <c r="I26" s="953"/>
      <c r="J26" s="953"/>
      <c r="K26" s="953"/>
      <c r="L26" s="953"/>
      <c r="M26" s="954"/>
    </row>
    <row r="27" spans="1:15" ht="15" customHeight="1">
      <c r="A27" s="559"/>
      <c r="B27" s="560"/>
      <c r="C27" s="560"/>
      <c r="D27" s="560"/>
      <c r="E27" s="560"/>
      <c r="F27" s="560"/>
      <c r="G27" s="560"/>
      <c r="H27" s="560"/>
      <c r="I27" s="560"/>
      <c r="J27" s="560"/>
      <c r="K27" s="560"/>
      <c r="L27" s="560"/>
      <c r="M27" s="572"/>
    </row>
    <row r="28" spans="1:15" ht="15" customHeight="1">
      <c r="A28" s="556" t="s">
        <v>412</v>
      </c>
      <c r="B28" s="557"/>
      <c r="C28" s="557"/>
      <c r="D28" s="557"/>
      <c r="E28" s="557"/>
      <c r="F28" s="557"/>
      <c r="G28" s="550"/>
      <c r="H28" s="550"/>
      <c r="I28" s="580"/>
      <c r="J28" s="550"/>
      <c r="K28" s="587"/>
      <c r="L28" s="587"/>
      <c r="M28" s="588"/>
    </row>
    <row r="29" spans="1:15" ht="15" customHeight="1">
      <c r="A29" s="994" t="str">
        <f>"Nilai Kontrak termasuk Pajak Pertambahan Nilai (PPN) adalah sebesar Rp. "&amp;IF($G$1="Kosong",O29,O30)&amp;")."</f>
        <v>Nilai Kontrak termasuk Pajak Pertambahan Nilai (PPN) adalah sebesar Rp. ........................ (....................................).</v>
      </c>
      <c r="B29" s="964"/>
      <c r="C29" s="964"/>
      <c r="D29" s="964"/>
      <c r="E29" s="964"/>
      <c r="F29" s="964"/>
      <c r="G29" s="964"/>
      <c r="H29" s="964"/>
      <c r="I29" s="964"/>
      <c r="J29" s="964"/>
      <c r="K29" s="964"/>
      <c r="L29" s="964"/>
      <c r="M29" s="965"/>
      <c r="O29" s="603" t="s">
        <v>413</v>
      </c>
    </row>
    <row r="30" spans="1:15" ht="15" customHeight="1">
      <c r="A30" s="994"/>
      <c r="B30" s="964"/>
      <c r="C30" s="964"/>
      <c r="D30" s="964"/>
      <c r="E30" s="964"/>
      <c r="F30" s="964"/>
      <c r="G30" s="964"/>
      <c r="H30" s="964"/>
      <c r="I30" s="964"/>
      <c r="J30" s="964"/>
      <c r="K30" s="964"/>
      <c r="L30" s="964"/>
      <c r="M30" s="965"/>
      <c r="O30" s="603" t="str">
        <f>TEXT(bu_hn,tiko1)&amp;" ("&amp;bu_hn2</f>
        <v>69,862,000 (Enam Puluh Sembilan Juta Delapan Ratus Enam Puluh Dua Ribu Rupiah</v>
      </c>
    </row>
    <row r="31" spans="1:15" ht="15" customHeight="1">
      <c r="A31" s="594"/>
      <c r="B31" s="595"/>
      <c r="C31" s="595"/>
      <c r="D31" s="595"/>
      <c r="E31" s="595"/>
      <c r="F31" s="595"/>
      <c r="G31" s="595"/>
      <c r="H31" s="595"/>
      <c r="I31" s="595"/>
      <c r="J31" s="595"/>
      <c r="K31" s="595"/>
      <c r="L31" s="595"/>
      <c r="M31" s="602"/>
    </row>
    <row r="32" spans="1:15" ht="15" customHeight="1">
      <c r="A32" s="556" t="s">
        <v>414</v>
      </c>
      <c r="B32" s="557"/>
      <c r="C32" s="557"/>
      <c r="D32" s="557"/>
      <c r="E32" s="557"/>
      <c r="F32" s="557"/>
      <c r="G32" s="550"/>
      <c r="H32" s="550"/>
      <c r="I32" s="580"/>
      <c r="J32" s="550"/>
      <c r="K32" s="587"/>
      <c r="L32" s="587"/>
      <c r="M32" s="588"/>
    </row>
    <row r="33" spans="1:13" ht="15" customHeight="1">
      <c r="A33" s="944" t="str">
        <f>masa&amp;" ("&amp;Input!$E$16&amp;") hari kalender"</f>
        <v>30 (tiga puluh) hari kalender</v>
      </c>
      <c r="B33" s="945"/>
      <c r="C33" s="945"/>
      <c r="D33" s="945"/>
      <c r="E33" s="945"/>
      <c r="F33" s="945"/>
      <c r="G33" s="945"/>
      <c r="H33" s="945"/>
      <c r="I33" s="945"/>
      <c r="J33" s="945"/>
      <c r="K33" s="945"/>
      <c r="L33" s="945"/>
      <c r="M33" s="946"/>
    </row>
    <row r="34" spans="1:13" ht="15" customHeight="1">
      <c r="A34" s="947"/>
      <c r="B34" s="948"/>
      <c r="C34" s="948"/>
      <c r="D34" s="948"/>
      <c r="E34" s="948"/>
      <c r="F34" s="948"/>
      <c r="G34" s="948"/>
      <c r="H34" s="948"/>
      <c r="I34" s="948"/>
      <c r="J34" s="948"/>
      <c r="K34" s="948"/>
      <c r="L34" s="948"/>
      <c r="M34" s="949"/>
    </row>
    <row r="35" spans="1:13" ht="15" customHeight="1">
      <c r="A35" s="950" t="s">
        <v>415</v>
      </c>
      <c r="B35" s="951"/>
      <c r="C35" s="951"/>
      <c r="D35" s="951"/>
      <c r="E35" s="951"/>
      <c r="F35" s="951"/>
      <c r="G35" s="951"/>
      <c r="H35" s="951"/>
      <c r="I35" s="951" t="s">
        <v>416</v>
      </c>
      <c r="J35" s="951"/>
      <c r="K35" s="951"/>
      <c r="L35" s="951"/>
      <c r="M35" s="952"/>
    </row>
    <row r="36" spans="1:13" ht="15" customHeight="1">
      <c r="A36" s="935" t="str">
        <f>opd_nama</f>
        <v>Badan Pengelolaan Keuangan dan Aset Daerah</v>
      </c>
      <c r="B36" s="936"/>
      <c r="C36" s="936"/>
      <c r="D36" s="936"/>
      <c r="E36" s="936"/>
      <c r="F36" s="936"/>
      <c r="G36" s="936"/>
      <c r="H36" s="936"/>
      <c r="I36" s="936" t="str">
        <f>IF($G$1="Kosong","________",bu_nama)</f>
        <v>________</v>
      </c>
      <c r="J36" s="936"/>
      <c r="K36" s="936"/>
      <c r="L36" s="936"/>
      <c r="M36" s="937"/>
    </row>
    <row r="37" spans="1:13" ht="15" customHeight="1">
      <c r="A37" s="961" t="s">
        <v>417</v>
      </c>
      <c r="B37" s="962"/>
      <c r="C37" s="962"/>
      <c r="D37" s="962"/>
      <c r="E37" s="962"/>
      <c r="F37" s="962"/>
      <c r="G37" s="962"/>
      <c r="H37" s="962"/>
      <c r="I37" s="936"/>
      <c r="J37" s="936"/>
      <c r="K37" s="936"/>
      <c r="L37" s="936"/>
      <c r="M37" s="937"/>
    </row>
    <row r="38" spans="1:13" ht="5.25" customHeight="1">
      <c r="A38" s="935"/>
      <c r="B38" s="936"/>
      <c r="C38" s="936"/>
      <c r="D38" s="936"/>
      <c r="E38" s="936"/>
      <c r="F38" s="936"/>
      <c r="G38" s="936"/>
      <c r="H38" s="936"/>
      <c r="I38" s="936"/>
      <c r="J38" s="936"/>
      <c r="K38" s="936"/>
      <c r="L38" s="936"/>
      <c r="M38" s="937"/>
    </row>
    <row r="39" spans="1:13" ht="47.25" customHeight="1">
      <c r="A39" s="1005" t="str">
        <f>IF($G$1="Kosong","[tanda tangan dan cap (jika salinan asli ini untuk Penyedia maka rekatkan materai Rp 6.000,- )]","")</f>
        <v>[tanda tangan dan cap (jika salinan asli ini untuk Penyedia maka rekatkan materai Rp 6.000,- )]</v>
      </c>
      <c r="B39" s="1006"/>
      <c r="C39" s="1006"/>
      <c r="D39" s="1006"/>
      <c r="E39" s="1006"/>
      <c r="F39" s="1006"/>
      <c r="G39" s="1006"/>
      <c r="H39" s="1006"/>
      <c r="I39" s="1006" t="str">
        <f>IF($G$1="Kosong","[tanda tangan dan cap (jika salinan asli ini untuk proyek/satuan kerja Pengguna Jasa maka rekatkan materai Rp 6.000,- )]","")</f>
        <v>[tanda tangan dan cap (jika salinan asli ini untuk proyek/satuan kerja Pengguna Jasa maka rekatkan materai Rp 6.000,- )]</v>
      </c>
      <c r="J39" s="1006"/>
      <c r="K39" s="1006"/>
      <c r="L39" s="1006"/>
      <c r="M39" s="1007"/>
    </row>
    <row r="40" spans="1:13" ht="5.25" customHeight="1">
      <c r="A40" s="935"/>
      <c r="B40" s="936"/>
      <c r="C40" s="936"/>
      <c r="D40" s="936"/>
      <c r="E40" s="936"/>
      <c r="F40" s="936"/>
      <c r="G40" s="936"/>
      <c r="H40" s="936"/>
      <c r="I40" s="936"/>
      <c r="J40" s="936"/>
      <c r="K40" s="936"/>
      <c r="L40" s="936"/>
      <c r="M40" s="937"/>
    </row>
    <row r="41" spans="1:13" ht="15" customHeight="1">
      <c r="A41" s="955" t="str">
        <f>ppk_nama</f>
        <v>Ika Kurnia Mustika, ST, MT</v>
      </c>
      <c r="B41" s="956"/>
      <c r="C41" s="956"/>
      <c r="D41" s="956"/>
      <c r="E41" s="956"/>
      <c r="F41" s="956"/>
      <c r="G41" s="956"/>
      <c r="H41" s="956"/>
      <c r="I41" s="956" t="str">
        <f>IF($G$1="Kosong","________",bu_pimn)</f>
        <v>________</v>
      </c>
      <c r="J41" s="956"/>
      <c r="K41" s="956"/>
      <c r="L41" s="956"/>
      <c r="M41" s="957"/>
    </row>
    <row r="42" spans="1:13" ht="15" customHeight="1">
      <c r="A42" s="958" t="str">
        <f>ppk_jab</f>
        <v>Pejabat Pembuat Komitmen</v>
      </c>
      <c r="B42" s="959"/>
      <c r="C42" s="959"/>
      <c r="D42" s="959"/>
      <c r="E42" s="959"/>
      <c r="F42" s="959"/>
      <c r="G42" s="959"/>
      <c r="H42" s="959"/>
      <c r="I42" s="959" t="str">
        <f>IF($G$1="Kosong","Jabatan",bu_pimn)</f>
        <v>Jabatan</v>
      </c>
      <c r="J42" s="959"/>
      <c r="K42" s="959"/>
      <c r="L42" s="959"/>
      <c r="M42" s="960"/>
    </row>
    <row r="43" spans="1:13" ht="15" customHeight="1">
      <c r="A43" s="554"/>
      <c r="B43" s="555"/>
      <c r="C43" s="555"/>
      <c r="D43" s="555"/>
      <c r="E43" s="555"/>
      <c r="F43" s="555"/>
      <c r="G43" s="555"/>
      <c r="H43" s="555"/>
      <c r="I43" s="555"/>
      <c r="J43" s="555"/>
      <c r="K43" s="555"/>
      <c r="L43" s="555"/>
      <c r="M43" s="585"/>
    </row>
    <row r="44" spans="1:13" ht="15" customHeight="1">
      <c r="A44" s="549"/>
      <c r="B44" s="550"/>
      <c r="C44" s="550"/>
      <c r="D44" s="550"/>
      <c r="E44" s="550"/>
      <c r="F44" s="550"/>
      <c r="G44" s="550"/>
      <c r="H44" s="550"/>
      <c r="I44" s="550"/>
      <c r="J44" s="550"/>
      <c r="K44" s="550"/>
      <c r="L44" s="550"/>
      <c r="M44" s="581"/>
    </row>
    <row r="45" spans="1:13" ht="15" customHeight="1">
      <c r="A45" s="955" t="s">
        <v>418</v>
      </c>
      <c r="B45" s="956"/>
      <c r="C45" s="956"/>
      <c r="D45" s="956"/>
      <c r="E45" s="956"/>
      <c r="F45" s="956"/>
      <c r="G45" s="956"/>
      <c r="H45" s="956"/>
      <c r="I45" s="956"/>
      <c r="J45" s="956"/>
      <c r="K45" s="956"/>
      <c r="L45" s="956"/>
      <c r="M45" s="957"/>
    </row>
    <row r="46" spans="1:13" ht="15" customHeight="1">
      <c r="A46" s="961" t="s">
        <v>403</v>
      </c>
      <c r="B46" s="962"/>
      <c r="C46" s="962"/>
      <c r="D46" s="962"/>
      <c r="E46" s="962"/>
      <c r="F46" s="962"/>
      <c r="G46" s="962"/>
      <c r="H46" s="962"/>
      <c r="I46" s="962"/>
      <c r="J46" s="962"/>
      <c r="K46" s="962"/>
      <c r="L46" s="962"/>
      <c r="M46" s="963"/>
    </row>
    <row r="47" spans="1:13" ht="15" customHeight="1">
      <c r="A47" s="551"/>
      <c r="B47" s="552"/>
      <c r="C47" s="552"/>
      <c r="D47" s="552"/>
      <c r="E47" s="552"/>
      <c r="F47" s="552"/>
      <c r="G47" s="552"/>
      <c r="H47" s="552"/>
      <c r="I47" s="552"/>
      <c r="J47" s="552"/>
      <c r="K47" s="552"/>
      <c r="L47" s="552"/>
      <c r="M47" s="583"/>
    </row>
    <row r="48" spans="1:13" ht="15" customHeight="1">
      <c r="A48" s="551"/>
      <c r="B48" s="552"/>
      <c r="C48" s="552"/>
      <c r="D48" s="552"/>
      <c r="E48" s="552"/>
      <c r="F48" s="552"/>
      <c r="G48" s="552"/>
      <c r="H48" s="552"/>
      <c r="I48" s="552"/>
      <c r="J48" s="552"/>
      <c r="K48" s="552"/>
      <c r="L48" s="552"/>
      <c r="M48" s="583"/>
    </row>
    <row r="49" spans="1:14" ht="15" customHeight="1">
      <c r="A49" s="798" t="s">
        <v>419</v>
      </c>
      <c r="B49" s="552" t="s">
        <v>420</v>
      </c>
      <c r="C49" s="607"/>
      <c r="D49" s="607"/>
      <c r="E49" s="552"/>
      <c r="F49" s="552"/>
      <c r="G49" s="552"/>
      <c r="H49" s="552"/>
      <c r="I49" s="552"/>
      <c r="J49" s="552"/>
      <c r="K49" s="552"/>
      <c r="L49" s="552"/>
      <c r="M49" s="583"/>
    </row>
    <row r="50" spans="1:14" ht="15" customHeight="1">
      <c r="A50" s="601"/>
      <c r="B50" s="953" t="s">
        <v>421</v>
      </c>
      <c r="C50" s="953"/>
      <c r="D50" s="953"/>
      <c r="E50" s="953"/>
      <c r="F50" s="953"/>
      <c r="G50" s="953"/>
      <c r="H50" s="953"/>
      <c r="I50" s="953"/>
      <c r="J50" s="953"/>
      <c r="K50" s="953"/>
      <c r="L50" s="953"/>
      <c r="M50" s="954"/>
    </row>
    <row r="51" spans="1:14" ht="15" customHeight="1">
      <c r="A51" s="601"/>
      <c r="B51" s="953"/>
      <c r="C51" s="953"/>
      <c r="D51" s="953"/>
      <c r="E51" s="953"/>
      <c r="F51" s="953"/>
      <c r="G51" s="953"/>
      <c r="H51" s="953"/>
      <c r="I51" s="953"/>
      <c r="J51" s="953"/>
      <c r="K51" s="953"/>
      <c r="L51" s="953"/>
      <c r="M51" s="954"/>
    </row>
    <row r="52" spans="1:14" ht="15" customHeight="1">
      <c r="A52" s="601"/>
      <c r="B52" s="552"/>
      <c r="C52" s="607"/>
      <c r="D52" s="607"/>
      <c r="E52" s="552"/>
      <c r="F52" s="552"/>
      <c r="G52" s="552"/>
      <c r="H52" s="552"/>
      <c r="I52" s="552"/>
      <c r="J52" s="552"/>
      <c r="K52" s="552"/>
      <c r="L52" s="552"/>
      <c r="M52" s="583"/>
    </row>
    <row r="53" spans="1:14" ht="15" customHeight="1">
      <c r="A53" s="798" t="s">
        <v>422</v>
      </c>
      <c r="B53" s="552" t="s">
        <v>423</v>
      </c>
      <c r="C53" s="607"/>
      <c r="D53" s="607"/>
      <c r="E53" s="552"/>
      <c r="F53" s="552"/>
      <c r="G53" s="552"/>
      <c r="H53" s="552"/>
      <c r="I53" s="552"/>
      <c r="J53" s="552"/>
      <c r="K53" s="552"/>
      <c r="L53" s="552"/>
      <c r="M53" s="583"/>
    </row>
    <row r="54" spans="1:14" ht="15" customHeight="1">
      <c r="A54" s="601"/>
      <c r="B54" s="552" t="s">
        <v>424</v>
      </c>
      <c r="C54" s="607"/>
      <c r="D54" s="607"/>
      <c r="E54" s="552"/>
      <c r="F54" s="552"/>
      <c r="G54" s="552"/>
      <c r="H54" s="552"/>
      <c r="I54" s="552"/>
      <c r="J54" s="552"/>
      <c r="K54" s="552"/>
      <c r="L54" s="552"/>
      <c r="M54" s="583"/>
    </row>
    <row r="55" spans="1:14" ht="15" customHeight="1">
      <c r="A55" s="601"/>
      <c r="B55" s="552"/>
      <c r="C55" s="607"/>
      <c r="D55" s="607"/>
      <c r="E55" s="552"/>
      <c r="F55" s="552"/>
      <c r="G55" s="552"/>
      <c r="H55" s="552"/>
      <c r="I55" s="552"/>
      <c r="J55" s="552"/>
      <c r="K55" s="552"/>
      <c r="L55" s="552"/>
      <c r="M55" s="583"/>
    </row>
    <row r="56" spans="1:14" ht="15" customHeight="1">
      <c r="A56" s="798" t="s">
        <v>425</v>
      </c>
      <c r="B56" s="552" t="s">
        <v>426</v>
      </c>
      <c r="C56" s="607"/>
      <c r="D56" s="607"/>
      <c r="E56" s="552"/>
      <c r="F56" s="552"/>
      <c r="G56" s="552"/>
      <c r="H56" s="552"/>
      <c r="I56" s="552"/>
      <c r="J56" s="552"/>
      <c r="K56" s="552"/>
      <c r="L56" s="552"/>
      <c r="M56" s="583"/>
    </row>
    <row r="57" spans="1:14" ht="15" customHeight="1">
      <c r="A57" s="601"/>
      <c r="B57" s="552" t="s">
        <v>427</v>
      </c>
      <c r="C57" s="953" t="str">
        <f>"Jenis Kontrak yang digunakan adalah Kontrak "&amp;hsls&amp;"."</f>
        <v>Jenis Kontrak yang digunakan adalah Kontrak Lumsum.</v>
      </c>
      <c r="D57" s="953"/>
      <c r="E57" s="953"/>
      <c r="F57" s="953"/>
      <c r="G57" s="953"/>
      <c r="H57" s="953"/>
      <c r="I57" s="953"/>
      <c r="J57" s="953"/>
      <c r="K57" s="953"/>
      <c r="L57" s="953"/>
      <c r="M57" s="954"/>
      <c r="N57" s="586" t="s">
        <v>428</v>
      </c>
    </row>
    <row r="58" spans="1:14" ht="15" customHeight="1">
      <c r="A58" s="601"/>
      <c r="B58" s="552" t="s">
        <v>429</v>
      </c>
      <c r="C58" s="953" t="s">
        <v>430</v>
      </c>
      <c r="D58" s="953"/>
      <c r="E58" s="953"/>
      <c r="F58" s="953"/>
      <c r="G58" s="953"/>
      <c r="H58" s="953"/>
      <c r="I58" s="953"/>
      <c r="J58" s="953"/>
      <c r="K58" s="953"/>
      <c r="L58" s="953"/>
      <c r="M58" s="954"/>
    </row>
    <row r="59" spans="1:14" ht="15" customHeight="1">
      <c r="A59" s="601"/>
      <c r="B59" s="552" t="s">
        <v>431</v>
      </c>
      <c r="C59" s="953" t="s">
        <v>432</v>
      </c>
      <c r="D59" s="953"/>
      <c r="E59" s="953"/>
      <c r="F59" s="953"/>
      <c r="G59" s="953"/>
      <c r="H59" s="953"/>
      <c r="I59" s="953"/>
      <c r="J59" s="953"/>
      <c r="K59" s="953"/>
      <c r="L59" s="953"/>
      <c r="M59" s="954"/>
    </row>
    <row r="60" spans="1:14" ht="15" customHeight="1">
      <c r="A60" s="601"/>
      <c r="B60" s="552"/>
      <c r="C60" s="953"/>
      <c r="D60" s="953"/>
      <c r="E60" s="953"/>
      <c r="F60" s="953"/>
      <c r="G60" s="953"/>
      <c r="H60" s="953"/>
      <c r="I60" s="953"/>
      <c r="J60" s="953"/>
      <c r="K60" s="953"/>
      <c r="L60" s="953"/>
      <c r="M60" s="954"/>
    </row>
    <row r="61" spans="1:14" ht="15" customHeight="1">
      <c r="A61" s="601"/>
      <c r="B61" s="552" t="s">
        <v>433</v>
      </c>
      <c r="C61" s="953" t="s">
        <v>434</v>
      </c>
      <c r="D61" s="953"/>
      <c r="E61" s="953"/>
      <c r="F61" s="953"/>
      <c r="G61" s="953"/>
      <c r="H61" s="953"/>
      <c r="I61" s="953"/>
      <c r="J61" s="953"/>
      <c r="K61" s="953"/>
      <c r="L61" s="953"/>
      <c r="M61" s="954"/>
    </row>
    <row r="62" spans="1:14" ht="15" customHeight="1">
      <c r="A62" s="601"/>
      <c r="B62" s="552"/>
      <c r="C62" s="607"/>
      <c r="D62" s="607"/>
      <c r="E62" s="552"/>
      <c r="F62" s="552"/>
      <c r="G62" s="552"/>
      <c r="H62" s="552"/>
      <c r="I62" s="552"/>
      <c r="J62" s="552"/>
      <c r="K62" s="552"/>
      <c r="L62" s="552"/>
      <c r="M62" s="583"/>
    </row>
    <row r="63" spans="1:14" ht="15" customHeight="1">
      <c r="A63" s="798" t="s">
        <v>435</v>
      </c>
      <c r="B63" s="552" t="s">
        <v>436</v>
      </c>
      <c r="C63" s="607"/>
      <c r="D63" s="607"/>
      <c r="E63" s="552"/>
      <c r="F63" s="552"/>
      <c r="G63" s="552"/>
      <c r="H63" s="552"/>
      <c r="I63" s="552"/>
      <c r="J63" s="552"/>
      <c r="K63" s="552"/>
      <c r="L63" s="552"/>
      <c r="M63" s="583"/>
    </row>
    <row r="64" spans="1:14" ht="15" customHeight="1">
      <c r="A64" s="601"/>
      <c r="B64" s="558" t="s">
        <v>437</v>
      </c>
      <c r="C64" s="953" t="s">
        <v>438</v>
      </c>
      <c r="D64" s="953"/>
      <c r="E64" s="953"/>
      <c r="F64" s="953"/>
      <c r="G64" s="953"/>
      <c r="H64" s="953"/>
      <c r="I64" s="953"/>
      <c r="J64" s="953"/>
      <c r="K64" s="953"/>
      <c r="L64" s="953"/>
      <c r="M64" s="954"/>
    </row>
    <row r="65" spans="1:13" ht="15" customHeight="1">
      <c r="A65" s="601"/>
      <c r="B65" s="558"/>
      <c r="C65" s="953"/>
      <c r="D65" s="953"/>
      <c r="E65" s="953"/>
      <c r="F65" s="953"/>
      <c r="G65" s="953"/>
      <c r="H65" s="953"/>
      <c r="I65" s="953"/>
      <c r="J65" s="953"/>
      <c r="K65" s="953"/>
      <c r="L65" s="953"/>
      <c r="M65" s="954"/>
    </row>
    <row r="66" spans="1:13" ht="15" customHeight="1">
      <c r="A66" s="601"/>
      <c r="B66" s="558"/>
      <c r="C66" s="953"/>
      <c r="D66" s="953"/>
      <c r="E66" s="953"/>
      <c r="F66" s="953"/>
      <c r="G66" s="953"/>
      <c r="H66" s="953"/>
      <c r="I66" s="953"/>
      <c r="J66" s="953"/>
      <c r="K66" s="953"/>
      <c r="L66" s="953"/>
      <c r="M66" s="954"/>
    </row>
    <row r="67" spans="1:13" ht="15" customHeight="1">
      <c r="A67" s="601"/>
      <c r="B67" s="558"/>
      <c r="C67" s="953"/>
      <c r="D67" s="953"/>
      <c r="E67" s="953"/>
      <c r="F67" s="953"/>
      <c r="G67" s="953"/>
      <c r="H67" s="953"/>
      <c r="I67" s="953"/>
      <c r="J67" s="953"/>
      <c r="K67" s="953"/>
      <c r="L67" s="953"/>
      <c r="M67" s="954"/>
    </row>
    <row r="68" spans="1:13" ht="15" customHeight="1">
      <c r="A68" s="601"/>
      <c r="B68" s="558" t="s">
        <v>439</v>
      </c>
      <c r="C68" s="953" t="s">
        <v>440</v>
      </c>
      <c r="D68" s="953"/>
      <c r="E68" s="953"/>
      <c r="F68" s="953"/>
      <c r="G68" s="953"/>
      <c r="H68" s="953"/>
      <c r="I68" s="953"/>
      <c r="J68" s="953"/>
      <c r="K68" s="953"/>
      <c r="L68" s="953"/>
      <c r="M68" s="954"/>
    </row>
    <row r="69" spans="1:13" ht="15" customHeight="1">
      <c r="A69" s="601"/>
      <c r="B69" s="558"/>
      <c r="C69" s="953"/>
      <c r="D69" s="953"/>
      <c r="E69" s="953"/>
      <c r="F69" s="953"/>
      <c r="G69" s="953"/>
      <c r="H69" s="953"/>
      <c r="I69" s="953"/>
      <c r="J69" s="953"/>
      <c r="K69" s="953"/>
      <c r="L69" s="953"/>
      <c r="M69" s="954"/>
    </row>
    <row r="70" spans="1:13" ht="15" customHeight="1">
      <c r="A70" s="601"/>
      <c r="B70" s="558"/>
      <c r="C70" s="953"/>
      <c r="D70" s="953"/>
      <c r="E70" s="953"/>
      <c r="F70" s="953"/>
      <c r="G70" s="953"/>
      <c r="H70" s="953"/>
      <c r="I70" s="953"/>
      <c r="J70" s="953"/>
      <c r="K70" s="953"/>
      <c r="L70" s="953"/>
      <c r="M70" s="954"/>
    </row>
    <row r="71" spans="1:13" ht="15" customHeight="1">
      <c r="A71" s="601"/>
      <c r="B71" s="558"/>
      <c r="C71" s="953"/>
      <c r="D71" s="953"/>
      <c r="E71" s="953"/>
      <c r="F71" s="953"/>
      <c r="G71" s="953"/>
      <c r="H71" s="953"/>
      <c r="I71" s="953"/>
      <c r="J71" s="953"/>
      <c r="K71" s="953"/>
      <c r="L71" s="953"/>
      <c r="M71" s="954"/>
    </row>
    <row r="72" spans="1:13" ht="15" customHeight="1">
      <c r="A72" s="601"/>
      <c r="B72" s="558"/>
      <c r="C72" s="953"/>
      <c r="D72" s="953"/>
      <c r="E72" s="953"/>
      <c r="F72" s="953"/>
      <c r="G72" s="953"/>
      <c r="H72" s="953"/>
      <c r="I72" s="953"/>
      <c r="J72" s="953"/>
      <c r="K72" s="953"/>
      <c r="L72" s="953"/>
      <c r="M72" s="954"/>
    </row>
    <row r="73" spans="1:13" ht="15" customHeight="1">
      <c r="A73" s="601"/>
      <c r="B73" s="552"/>
      <c r="C73" s="607"/>
      <c r="D73" s="607"/>
      <c r="E73" s="552"/>
      <c r="F73" s="552"/>
      <c r="G73" s="552"/>
      <c r="H73" s="552"/>
      <c r="I73" s="552"/>
      <c r="J73" s="552"/>
      <c r="K73" s="552"/>
      <c r="L73" s="552"/>
      <c r="M73" s="583"/>
    </row>
    <row r="74" spans="1:13" ht="15" customHeight="1">
      <c r="A74" s="798" t="s">
        <v>441</v>
      </c>
      <c r="B74" s="552" t="s">
        <v>442</v>
      </c>
      <c r="C74" s="607"/>
      <c r="D74" s="607"/>
      <c r="E74" s="552"/>
      <c r="F74" s="552"/>
      <c r="G74" s="552"/>
      <c r="H74" s="552"/>
      <c r="I74" s="552"/>
      <c r="J74" s="552"/>
      <c r="K74" s="552"/>
      <c r="L74" s="552"/>
      <c r="M74" s="583"/>
    </row>
    <row r="75" spans="1:13" ht="15" customHeight="1">
      <c r="A75" s="601"/>
      <c r="B75" s="953" t="s">
        <v>443</v>
      </c>
      <c r="C75" s="953"/>
      <c r="D75" s="953"/>
      <c r="E75" s="953"/>
      <c r="F75" s="953"/>
      <c r="G75" s="953"/>
      <c r="H75" s="953"/>
      <c r="I75" s="953"/>
      <c r="J75" s="953"/>
      <c r="K75" s="953"/>
      <c r="L75" s="953"/>
      <c r="M75" s="954"/>
    </row>
    <row r="76" spans="1:13" ht="15" customHeight="1">
      <c r="A76" s="601"/>
      <c r="B76" s="953"/>
      <c r="C76" s="953"/>
      <c r="D76" s="953"/>
      <c r="E76" s="953"/>
      <c r="F76" s="953"/>
      <c r="G76" s="953"/>
      <c r="H76" s="953"/>
      <c r="I76" s="953"/>
      <c r="J76" s="953"/>
      <c r="K76" s="953"/>
      <c r="L76" s="953"/>
      <c r="M76" s="954"/>
    </row>
    <row r="77" spans="1:13" ht="15" customHeight="1">
      <c r="A77" s="601"/>
      <c r="B77" s="953"/>
      <c r="C77" s="953"/>
      <c r="D77" s="953"/>
      <c r="E77" s="953"/>
      <c r="F77" s="953"/>
      <c r="G77" s="953"/>
      <c r="H77" s="953"/>
      <c r="I77" s="953"/>
      <c r="J77" s="953"/>
      <c r="K77" s="953"/>
      <c r="L77" s="953"/>
      <c r="M77" s="954"/>
    </row>
    <row r="78" spans="1:13" ht="15" customHeight="1">
      <c r="A78" s="601"/>
      <c r="B78" s="953"/>
      <c r="C78" s="953"/>
      <c r="D78" s="953"/>
      <c r="E78" s="953"/>
      <c r="F78" s="953"/>
      <c r="G78" s="953"/>
      <c r="H78" s="953"/>
      <c r="I78" s="953"/>
      <c r="J78" s="953"/>
      <c r="K78" s="953"/>
      <c r="L78" s="953"/>
      <c r="M78" s="954"/>
    </row>
    <row r="79" spans="1:13" ht="15" customHeight="1">
      <c r="A79" s="601"/>
      <c r="B79" s="552"/>
      <c r="C79" s="607"/>
      <c r="D79" s="607"/>
      <c r="E79" s="552"/>
      <c r="F79" s="552"/>
      <c r="G79" s="552"/>
      <c r="H79" s="552"/>
      <c r="I79" s="552"/>
      <c r="J79" s="552"/>
      <c r="K79" s="552"/>
      <c r="L79" s="552"/>
      <c r="M79" s="583"/>
    </row>
    <row r="80" spans="1:13" ht="15" customHeight="1">
      <c r="A80" s="798" t="s">
        <v>444</v>
      </c>
      <c r="B80" s="552" t="s">
        <v>445</v>
      </c>
      <c r="C80" s="607"/>
      <c r="D80" s="607"/>
      <c r="E80" s="552"/>
      <c r="F80" s="552"/>
      <c r="G80" s="552"/>
      <c r="H80" s="552"/>
      <c r="I80" s="552"/>
      <c r="J80" s="552"/>
      <c r="K80" s="552"/>
      <c r="L80" s="552"/>
      <c r="M80" s="583"/>
    </row>
    <row r="81" spans="1:13" ht="15" customHeight="1">
      <c r="A81" s="601"/>
      <c r="B81" s="953" t="s">
        <v>446</v>
      </c>
      <c r="C81" s="953"/>
      <c r="D81" s="953"/>
      <c r="E81" s="953"/>
      <c r="F81" s="953"/>
      <c r="G81" s="953"/>
      <c r="H81" s="953"/>
      <c r="I81" s="953"/>
      <c r="J81" s="953"/>
      <c r="K81" s="953"/>
      <c r="L81" s="953"/>
      <c r="M81" s="954"/>
    </row>
    <row r="82" spans="1:13" ht="15" customHeight="1">
      <c r="A82" s="601"/>
      <c r="B82" s="953"/>
      <c r="C82" s="953"/>
      <c r="D82" s="953"/>
      <c r="E82" s="953"/>
      <c r="F82" s="953"/>
      <c r="G82" s="953"/>
      <c r="H82" s="953"/>
      <c r="I82" s="953"/>
      <c r="J82" s="953"/>
      <c r="K82" s="953"/>
      <c r="L82" s="953"/>
      <c r="M82" s="954"/>
    </row>
    <row r="83" spans="1:13" ht="15" customHeight="1">
      <c r="A83" s="601"/>
      <c r="B83" s="953"/>
      <c r="C83" s="953"/>
      <c r="D83" s="953"/>
      <c r="E83" s="953"/>
      <c r="F83" s="953"/>
      <c r="G83" s="953"/>
      <c r="H83" s="953"/>
      <c r="I83" s="953"/>
      <c r="J83" s="953"/>
      <c r="K83" s="953"/>
      <c r="L83" s="953"/>
      <c r="M83" s="954"/>
    </row>
    <row r="84" spans="1:13" ht="15" customHeight="1">
      <c r="A84" s="601"/>
      <c r="B84" s="552"/>
      <c r="C84" s="607"/>
      <c r="D84" s="607"/>
      <c r="E84" s="552"/>
      <c r="F84" s="552"/>
      <c r="G84" s="552"/>
      <c r="H84" s="552"/>
      <c r="I84" s="552"/>
      <c r="J84" s="552"/>
      <c r="K84" s="552"/>
      <c r="L84" s="552"/>
      <c r="M84" s="583"/>
    </row>
    <row r="85" spans="1:13" ht="15" customHeight="1">
      <c r="A85" s="798" t="s">
        <v>447</v>
      </c>
      <c r="B85" s="552" t="s">
        <v>448</v>
      </c>
      <c r="C85" s="607"/>
      <c r="D85" s="607"/>
      <c r="E85" s="552"/>
      <c r="F85" s="552"/>
      <c r="G85" s="552"/>
      <c r="H85" s="552"/>
      <c r="I85" s="552"/>
      <c r="J85" s="552"/>
      <c r="K85" s="552"/>
      <c r="L85" s="552"/>
      <c r="M85" s="583"/>
    </row>
    <row r="86" spans="1:13" ht="15" customHeight="1">
      <c r="A86" s="601"/>
      <c r="B86" s="953" t="s">
        <v>449</v>
      </c>
      <c r="C86" s="953"/>
      <c r="D86" s="953"/>
      <c r="E86" s="953"/>
      <c r="F86" s="953"/>
      <c r="G86" s="953"/>
      <c r="H86" s="953"/>
      <c r="I86" s="953"/>
      <c r="J86" s="953"/>
      <c r="K86" s="953"/>
      <c r="L86" s="953"/>
      <c r="M86" s="954"/>
    </row>
    <row r="87" spans="1:13" ht="15" customHeight="1">
      <c r="A87" s="601"/>
      <c r="B87" s="953"/>
      <c r="C87" s="953"/>
      <c r="D87" s="953"/>
      <c r="E87" s="953"/>
      <c r="F87" s="953"/>
      <c r="G87" s="953"/>
      <c r="H87" s="953"/>
      <c r="I87" s="953"/>
      <c r="J87" s="953"/>
      <c r="K87" s="953"/>
      <c r="L87" s="953"/>
      <c r="M87" s="954"/>
    </row>
    <row r="88" spans="1:13" ht="15" customHeight="1">
      <c r="A88" s="601"/>
      <c r="B88" s="953"/>
      <c r="C88" s="953"/>
      <c r="D88" s="953"/>
      <c r="E88" s="953"/>
      <c r="F88" s="953"/>
      <c r="G88" s="953"/>
      <c r="H88" s="953"/>
      <c r="I88" s="953"/>
      <c r="J88" s="953"/>
      <c r="K88" s="953"/>
      <c r="L88" s="953"/>
      <c r="M88" s="954"/>
    </row>
    <row r="89" spans="1:13" ht="15" customHeight="1">
      <c r="A89" s="601"/>
      <c r="B89" s="552"/>
      <c r="C89" s="607"/>
      <c r="D89" s="607"/>
      <c r="E89" s="552"/>
      <c r="F89" s="552"/>
      <c r="G89" s="552"/>
      <c r="H89" s="552"/>
      <c r="I89" s="552"/>
      <c r="J89" s="552"/>
      <c r="K89" s="552"/>
      <c r="L89" s="552"/>
      <c r="M89" s="583"/>
    </row>
    <row r="90" spans="1:13" ht="15" customHeight="1">
      <c r="A90" s="798" t="s">
        <v>450</v>
      </c>
      <c r="B90" s="552" t="s">
        <v>451</v>
      </c>
      <c r="C90" s="607"/>
      <c r="D90" s="607"/>
      <c r="E90" s="552"/>
      <c r="F90" s="552"/>
      <c r="G90" s="552"/>
      <c r="H90" s="552"/>
      <c r="I90" s="552"/>
      <c r="J90" s="552"/>
      <c r="K90" s="552"/>
      <c r="L90" s="552"/>
      <c r="M90" s="583"/>
    </row>
    <row r="91" spans="1:13" ht="15" customHeight="1">
      <c r="A91" s="601"/>
      <c r="B91" s="558" t="s">
        <v>437</v>
      </c>
      <c r="C91" s="953" t="s">
        <v>452</v>
      </c>
      <c r="D91" s="953"/>
      <c r="E91" s="953"/>
      <c r="F91" s="953"/>
      <c r="G91" s="953"/>
      <c r="H91" s="953"/>
      <c r="I91" s="953"/>
      <c r="J91" s="953"/>
      <c r="K91" s="953"/>
      <c r="L91" s="953"/>
      <c r="M91" s="954"/>
    </row>
    <row r="92" spans="1:13" ht="15" customHeight="1">
      <c r="A92" s="608"/>
      <c r="B92" s="560"/>
      <c r="C92" s="966"/>
      <c r="D92" s="966"/>
      <c r="E92" s="966"/>
      <c r="F92" s="966"/>
      <c r="G92" s="966"/>
      <c r="H92" s="966"/>
      <c r="I92" s="966"/>
      <c r="J92" s="966"/>
      <c r="K92" s="966"/>
      <c r="L92" s="966"/>
      <c r="M92" s="967"/>
    </row>
    <row r="93" spans="1:13" ht="15" customHeight="1">
      <c r="A93" s="600"/>
      <c r="B93" s="570" t="s">
        <v>439</v>
      </c>
      <c r="C93" s="968" t="s">
        <v>453</v>
      </c>
      <c r="D93" s="968"/>
      <c r="E93" s="968"/>
      <c r="F93" s="968"/>
      <c r="G93" s="968"/>
      <c r="H93" s="968"/>
      <c r="I93" s="968"/>
      <c r="J93" s="968"/>
      <c r="K93" s="968"/>
      <c r="L93" s="968"/>
      <c r="M93" s="969"/>
    </row>
    <row r="94" spans="1:13" ht="15" customHeight="1">
      <c r="A94" s="601"/>
      <c r="B94" s="558"/>
      <c r="C94" s="953"/>
      <c r="D94" s="953"/>
      <c r="E94" s="953"/>
      <c r="F94" s="953"/>
      <c r="G94" s="953"/>
      <c r="H94" s="953"/>
      <c r="I94" s="953"/>
      <c r="J94" s="953"/>
      <c r="K94" s="953"/>
      <c r="L94" s="953"/>
      <c r="M94" s="954"/>
    </row>
    <row r="95" spans="1:13" ht="15" customHeight="1">
      <c r="A95" s="601"/>
      <c r="B95" s="558" t="s">
        <v>431</v>
      </c>
      <c r="C95" s="953" t="s">
        <v>454</v>
      </c>
      <c r="D95" s="953"/>
      <c r="E95" s="953"/>
      <c r="F95" s="953"/>
      <c r="G95" s="953"/>
      <c r="H95" s="953"/>
      <c r="I95" s="953"/>
      <c r="J95" s="953"/>
      <c r="K95" s="953"/>
      <c r="L95" s="953"/>
      <c r="M95" s="954"/>
    </row>
    <row r="96" spans="1:13" ht="15" customHeight="1">
      <c r="A96" s="601"/>
      <c r="B96" s="558" t="s">
        <v>433</v>
      </c>
      <c r="C96" s="953" t="s">
        <v>455</v>
      </c>
      <c r="D96" s="953"/>
      <c r="E96" s="953"/>
      <c r="F96" s="953"/>
      <c r="G96" s="953"/>
      <c r="H96" s="953"/>
      <c r="I96" s="953"/>
      <c r="J96" s="953"/>
      <c r="K96" s="953"/>
      <c r="L96" s="953"/>
      <c r="M96" s="954"/>
    </row>
    <row r="97" spans="1:13" ht="15" customHeight="1">
      <c r="A97" s="601"/>
      <c r="B97" s="558"/>
      <c r="C97" s="953"/>
      <c r="D97" s="953"/>
      <c r="E97" s="953"/>
      <c r="F97" s="953"/>
      <c r="G97" s="953"/>
      <c r="H97" s="953"/>
      <c r="I97" s="953"/>
      <c r="J97" s="953"/>
      <c r="K97" s="953"/>
      <c r="L97" s="953"/>
      <c r="M97" s="954"/>
    </row>
    <row r="98" spans="1:13" ht="15" customHeight="1">
      <c r="A98" s="601"/>
      <c r="B98" s="552"/>
      <c r="C98" s="607"/>
      <c r="D98" s="607"/>
      <c r="E98" s="552"/>
      <c r="F98" s="552"/>
      <c r="G98" s="552"/>
      <c r="H98" s="552"/>
      <c r="I98" s="552"/>
      <c r="J98" s="552"/>
      <c r="K98" s="552"/>
      <c r="L98" s="552"/>
      <c r="M98" s="583"/>
    </row>
    <row r="99" spans="1:13" ht="15" customHeight="1">
      <c r="A99" s="798" t="s">
        <v>456</v>
      </c>
      <c r="B99" s="552" t="s">
        <v>457</v>
      </c>
      <c r="C99" s="607"/>
      <c r="D99" s="607"/>
      <c r="E99" s="552"/>
      <c r="F99" s="552"/>
      <c r="G99" s="552"/>
      <c r="H99" s="552"/>
      <c r="I99" s="552"/>
      <c r="J99" s="552"/>
      <c r="K99" s="552"/>
      <c r="L99" s="552"/>
      <c r="M99" s="583"/>
    </row>
    <row r="100" spans="1:13" ht="15" customHeight="1">
      <c r="A100" s="601"/>
      <c r="B100" s="558" t="s">
        <v>437</v>
      </c>
      <c r="C100" s="953" t="s">
        <v>458</v>
      </c>
      <c r="D100" s="953"/>
      <c r="E100" s="953"/>
      <c r="F100" s="953"/>
      <c r="G100" s="953"/>
      <c r="H100" s="953"/>
      <c r="I100" s="953"/>
      <c r="J100" s="953"/>
      <c r="K100" s="953"/>
      <c r="L100" s="953"/>
      <c r="M100" s="954"/>
    </row>
    <row r="101" spans="1:13" ht="15" customHeight="1">
      <c r="A101" s="601"/>
      <c r="B101" s="558"/>
      <c r="C101" s="953"/>
      <c r="D101" s="953"/>
      <c r="E101" s="953"/>
      <c r="F101" s="953"/>
      <c r="G101" s="953"/>
      <c r="H101" s="953"/>
      <c r="I101" s="953"/>
      <c r="J101" s="953"/>
      <c r="K101" s="953"/>
      <c r="L101" s="953"/>
      <c r="M101" s="954"/>
    </row>
    <row r="102" spans="1:13" ht="15" customHeight="1">
      <c r="A102" s="601"/>
      <c r="B102" s="558"/>
      <c r="C102" s="558" t="s">
        <v>459</v>
      </c>
      <c r="D102" s="953" t="s">
        <v>460</v>
      </c>
      <c r="E102" s="953"/>
      <c r="F102" s="953"/>
      <c r="G102" s="953"/>
      <c r="H102" s="953"/>
      <c r="I102" s="953"/>
      <c r="J102" s="953"/>
      <c r="K102" s="953"/>
      <c r="L102" s="953"/>
      <c r="M102" s="954"/>
    </row>
    <row r="103" spans="1:13" ht="15" customHeight="1">
      <c r="A103" s="601"/>
      <c r="B103" s="558"/>
      <c r="C103" s="558"/>
      <c r="D103" s="953"/>
      <c r="E103" s="953"/>
      <c r="F103" s="953"/>
      <c r="G103" s="953"/>
      <c r="H103" s="953"/>
      <c r="I103" s="953"/>
      <c r="J103" s="953"/>
      <c r="K103" s="953"/>
      <c r="L103" s="953"/>
      <c r="M103" s="954"/>
    </row>
    <row r="104" spans="1:13" ht="15" customHeight="1">
      <c r="A104" s="601"/>
      <c r="B104" s="558"/>
      <c r="C104" s="558"/>
      <c r="D104" s="953"/>
      <c r="E104" s="953"/>
      <c r="F104" s="953"/>
      <c r="G104" s="953"/>
      <c r="H104" s="953"/>
      <c r="I104" s="953"/>
      <c r="J104" s="953"/>
      <c r="K104" s="953"/>
      <c r="L104" s="953"/>
      <c r="M104" s="954"/>
    </row>
    <row r="105" spans="1:13" ht="15" customHeight="1">
      <c r="A105" s="601"/>
      <c r="B105" s="558"/>
      <c r="C105" s="558" t="s">
        <v>461</v>
      </c>
      <c r="D105" s="953" t="s">
        <v>462</v>
      </c>
      <c r="E105" s="953"/>
      <c r="F105" s="953"/>
      <c r="G105" s="953"/>
      <c r="H105" s="953"/>
      <c r="I105" s="953"/>
      <c r="J105" s="953"/>
      <c r="K105" s="953"/>
      <c r="L105" s="953"/>
      <c r="M105" s="954"/>
    </row>
    <row r="106" spans="1:13" ht="15" customHeight="1">
      <c r="A106" s="601"/>
      <c r="B106" s="558" t="s">
        <v>439</v>
      </c>
      <c r="C106" s="953" t="s">
        <v>463</v>
      </c>
      <c r="D106" s="953"/>
      <c r="E106" s="953"/>
      <c r="F106" s="953"/>
      <c r="G106" s="953"/>
      <c r="H106" s="953"/>
      <c r="I106" s="953"/>
      <c r="J106" s="953"/>
      <c r="K106" s="953"/>
      <c r="L106" s="953"/>
      <c r="M106" s="954"/>
    </row>
    <row r="107" spans="1:13" ht="15" customHeight="1">
      <c r="A107" s="601"/>
      <c r="B107" s="558"/>
      <c r="C107" s="558"/>
      <c r="D107" s="558"/>
      <c r="E107" s="558"/>
      <c r="F107" s="558"/>
      <c r="G107" s="558"/>
      <c r="H107" s="558"/>
      <c r="I107" s="558"/>
      <c r="J107" s="558"/>
      <c r="K107" s="558"/>
      <c r="L107" s="558"/>
      <c r="M107" s="589"/>
    </row>
    <row r="108" spans="1:13" ht="15" customHeight="1">
      <c r="A108" s="798" t="s">
        <v>464</v>
      </c>
      <c r="B108" s="552" t="s">
        <v>465</v>
      </c>
      <c r="C108" s="607"/>
      <c r="D108" s="607"/>
      <c r="E108" s="552"/>
      <c r="F108" s="552"/>
      <c r="G108" s="552"/>
      <c r="H108" s="552"/>
      <c r="I108" s="552"/>
      <c r="J108" s="552"/>
      <c r="K108" s="552"/>
      <c r="L108" s="552"/>
      <c r="M108" s="583"/>
    </row>
    <row r="109" spans="1:13" ht="15" customHeight="1">
      <c r="A109" s="601"/>
      <c r="B109" s="558" t="s">
        <v>437</v>
      </c>
      <c r="C109" s="953" t="s">
        <v>466</v>
      </c>
      <c r="D109" s="953"/>
      <c r="E109" s="953"/>
      <c r="F109" s="953"/>
      <c r="G109" s="953"/>
      <c r="H109" s="953"/>
      <c r="I109" s="953"/>
      <c r="J109" s="953"/>
      <c r="K109" s="953"/>
      <c r="L109" s="953"/>
      <c r="M109" s="954"/>
    </row>
    <row r="110" spans="1:13" ht="15" customHeight="1">
      <c r="A110" s="601"/>
      <c r="B110" s="558"/>
      <c r="C110" s="953"/>
      <c r="D110" s="953"/>
      <c r="E110" s="953"/>
      <c r="F110" s="953"/>
      <c r="G110" s="953"/>
      <c r="H110" s="953"/>
      <c r="I110" s="953"/>
      <c r="J110" s="953"/>
      <c r="K110" s="953"/>
      <c r="L110" s="953"/>
      <c r="M110" s="954"/>
    </row>
    <row r="111" spans="1:13" ht="15" customHeight="1">
      <c r="A111" s="601"/>
      <c r="B111" s="558"/>
      <c r="C111" s="953"/>
      <c r="D111" s="953"/>
      <c r="E111" s="953"/>
      <c r="F111" s="953"/>
      <c r="G111" s="953"/>
      <c r="H111" s="953"/>
      <c r="I111" s="953"/>
      <c r="J111" s="953"/>
      <c r="K111" s="953"/>
      <c r="L111" s="953"/>
      <c r="M111" s="954"/>
    </row>
    <row r="112" spans="1:13" ht="15" customHeight="1">
      <c r="A112" s="601"/>
      <c r="B112" s="558"/>
      <c r="C112" s="953"/>
      <c r="D112" s="953"/>
      <c r="E112" s="953"/>
      <c r="F112" s="953"/>
      <c r="G112" s="953"/>
      <c r="H112" s="953"/>
      <c r="I112" s="953"/>
      <c r="J112" s="953"/>
      <c r="K112" s="953"/>
      <c r="L112" s="953"/>
      <c r="M112" s="954"/>
    </row>
    <row r="113" spans="1:13" ht="15" customHeight="1">
      <c r="A113" s="601"/>
      <c r="B113" s="558"/>
      <c r="C113" s="953"/>
      <c r="D113" s="953"/>
      <c r="E113" s="953"/>
      <c r="F113" s="953"/>
      <c r="G113" s="953"/>
      <c r="H113" s="953"/>
      <c r="I113" s="953"/>
      <c r="J113" s="953"/>
      <c r="K113" s="953"/>
      <c r="L113" s="953"/>
      <c r="M113" s="954"/>
    </row>
    <row r="114" spans="1:13" ht="15" customHeight="1">
      <c r="A114" s="601"/>
      <c r="B114" s="558"/>
      <c r="C114" s="953"/>
      <c r="D114" s="953"/>
      <c r="E114" s="953"/>
      <c r="F114" s="953"/>
      <c r="G114" s="953"/>
      <c r="H114" s="953"/>
      <c r="I114" s="953"/>
      <c r="J114" s="953"/>
      <c r="K114" s="953"/>
      <c r="L114" s="953"/>
      <c r="M114" s="954"/>
    </row>
    <row r="115" spans="1:13" ht="15" customHeight="1">
      <c r="A115" s="601"/>
      <c r="B115" s="558"/>
      <c r="C115" s="953"/>
      <c r="D115" s="953"/>
      <c r="E115" s="953"/>
      <c r="F115" s="953"/>
      <c r="G115" s="953"/>
      <c r="H115" s="953"/>
      <c r="I115" s="953"/>
      <c r="J115" s="953"/>
      <c r="K115" s="953"/>
      <c r="L115" s="953"/>
      <c r="M115" s="954"/>
    </row>
    <row r="116" spans="1:13" ht="15" customHeight="1">
      <c r="A116" s="601"/>
      <c r="B116" s="558"/>
      <c r="C116" s="558" t="s">
        <v>459</v>
      </c>
      <c r="D116" s="953" t="s">
        <v>467</v>
      </c>
      <c r="E116" s="953"/>
      <c r="F116" s="953"/>
      <c r="G116" s="953"/>
      <c r="H116" s="953"/>
      <c r="I116" s="953"/>
      <c r="J116" s="953"/>
      <c r="K116" s="953"/>
      <c r="L116" s="953"/>
      <c r="M116" s="954"/>
    </row>
    <row r="117" spans="1:13" ht="15" customHeight="1">
      <c r="A117" s="601"/>
      <c r="B117" s="558"/>
      <c r="C117" s="558" t="s">
        <v>461</v>
      </c>
      <c r="D117" s="953" t="s">
        <v>468</v>
      </c>
      <c r="E117" s="953"/>
      <c r="F117" s="953"/>
      <c r="G117" s="953"/>
      <c r="H117" s="953"/>
      <c r="I117" s="953"/>
      <c r="J117" s="953"/>
      <c r="K117" s="953"/>
      <c r="L117" s="953"/>
      <c r="M117" s="954"/>
    </row>
    <row r="118" spans="1:13" ht="15" customHeight="1">
      <c r="A118" s="601"/>
      <c r="B118" s="558"/>
      <c r="C118" s="558" t="s">
        <v>469</v>
      </c>
      <c r="D118" s="953" t="s">
        <v>470</v>
      </c>
      <c r="E118" s="953"/>
      <c r="F118" s="953"/>
      <c r="G118" s="953"/>
      <c r="H118" s="953"/>
      <c r="I118" s="953"/>
      <c r="J118" s="953"/>
      <c r="K118" s="953"/>
      <c r="L118" s="953"/>
      <c r="M118" s="954"/>
    </row>
    <row r="119" spans="1:13" ht="15" customHeight="1">
      <c r="A119" s="601"/>
      <c r="B119" s="558" t="s">
        <v>429</v>
      </c>
      <c r="C119" s="953" t="s">
        <v>471</v>
      </c>
      <c r="D119" s="953"/>
      <c r="E119" s="953"/>
      <c r="F119" s="953"/>
      <c r="G119" s="953"/>
      <c r="H119" s="953"/>
      <c r="I119" s="953"/>
      <c r="J119" s="953"/>
      <c r="K119" s="953"/>
      <c r="L119" s="953"/>
      <c r="M119" s="954"/>
    </row>
    <row r="120" spans="1:13" ht="15" customHeight="1">
      <c r="A120" s="601"/>
      <c r="B120" s="558"/>
      <c r="C120" s="953"/>
      <c r="D120" s="953"/>
      <c r="E120" s="953"/>
      <c r="F120" s="953"/>
      <c r="G120" s="953"/>
      <c r="H120" s="953"/>
      <c r="I120" s="953"/>
      <c r="J120" s="953"/>
      <c r="K120" s="953"/>
      <c r="L120" s="953"/>
      <c r="M120" s="954"/>
    </row>
    <row r="121" spans="1:13" ht="15" customHeight="1">
      <c r="A121" s="601"/>
      <c r="B121" s="558"/>
      <c r="C121" s="953"/>
      <c r="D121" s="953"/>
      <c r="E121" s="953"/>
      <c r="F121" s="953"/>
      <c r="G121" s="953"/>
      <c r="H121" s="953"/>
      <c r="I121" s="953"/>
      <c r="J121" s="953"/>
      <c r="K121" s="953"/>
      <c r="L121" s="953"/>
      <c r="M121" s="954"/>
    </row>
    <row r="122" spans="1:13" ht="15" customHeight="1">
      <c r="A122" s="601"/>
      <c r="B122" s="558" t="s">
        <v>431</v>
      </c>
      <c r="C122" s="953" t="s">
        <v>472</v>
      </c>
      <c r="D122" s="953"/>
      <c r="E122" s="953"/>
      <c r="F122" s="953"/>
      <c r="G122" s="953"/>
      <c r="H122" s="953"/>
      <c r="I122" s="953"/>
      <c r="J122" s="953"/>
      <c r="K122" s="953"/>
      <c r="L122" s="953"/>
      <c r="M122" s="954"/>
    </row>
    <row r="123" spans="1:13" ht="15" customHeight="1">
      <c r="A123" s="601"/>
      <c r="B123" s="558"/>
      <c r="C123" s="953"/>
      <c r="D123" s="953"/>
      <c r="E123" s="953"/>
      <c r="F123" s="953"/>
      <c r="G123" s="953"/>
      <c r="H123" s="953"/>
      <c r="I123" s="953"/>
      <c r="J123" s="953"/>
      <c r="K123" s="953"/>
      <c r="L123" s="953"/>
      <c r="M123" s="954"/>
    </row>
    <row r="124" spans="1:13" ht="15" customHeight="1">
      <c r="A124" s="601"/>
      <c r="B124" s="558" t="s">
        <v>433</v>
      </c>
      <c r="C124" s="953" t="s">
        <v>473</v>
      </c>
      <c r="D124" s="953"/>
      <c r="E124" s="953"/>
      <c r="F124" s="953"/>
      <c r="G124" s="953"/>
      <c r="H124" s="953"/>
      <c r="I124" s="953"/>
      <c r="J124" s="953"/>
      <c r="K124" s="953"/>
      <c r="L124" s="953"/>
      <c r="M124" s="954"/>
    </row>
    <row r="125" spans="1:13" ht="15" customHeight="1">
      <c r="A125" s="601"/>
      <c r="B125" s="558"/>
      <c r="C125" s="953"/>
      <c r="D125" s="953"/>
      <c r="E125" s="953"/>
      <c r="F125" s="953"/>
      <c r="G125" s="953"/>
      <c r="H125" s="953"/>
      <c r="I125" s="953"/>
      <c r="J125" s="953"/>
      <c r="K125" s="953"/>
      <c r="L125" s="953"/>
      <c r="M125" s="954"/>
    </row>
    <row r="126" spans="1:13" ht="15" customHeight="1">
      <c r="A126" s="601"/>
      <c r="B126" s="558"/>
      <c r="C126" s="953"/>
      <c r="D126" s="953"/>
      <c r="E126" s="953"/>
      <c r="F126" s="953"/>
      <c r="G126" s="953"/>
      <c r="H126" s="953"/>
      <c r="I126" s="953"/>
      <c r="J126" s="953"/>
      <c r="K126" s="953"/>
      <c r="L126" s="953"/>
      <c r="M126" s="954"/>
    </row>
    <row r="127" spans="1:13" ht="15" customHeight="1">
      <c r="A127" s="601"/>
      <c r="B127" s="552"/>
      <c r="C127" s="607"/>
      <c r="D127" s="607"/>
      <c r="E127" s="552"/>
      <c r="F127" s="552"/>
      <c r="G127" s="552"/>
      <c r="H127" s="552"/>
      <c r="I127" s="552"/>
      <c r="J127" s="552"/>
      <c r="K127" s="552"/>
      <c r="L127" s="552"/>
      <c r="M127" s="583"/>
    </row>
    <row r="128" spans="1:13" ht="15" customHeight="1">
      <c r="A128" s="798" t="s">
        <v>474</v>
      </c>
      <c r="B128" s="552" t="s">
        <v>475</v>
      </c>
      <c r="C128" s="607"/>
      <c r="D128" s="607"/>
      <c r="E128" s="552"/>
      <c r="F128" s="552"/>
      <c r="G128" s="552"/>
      <c r="H128" s="552"/>
      <c r="I128" s="552"/>
      <c r="J128" s="552"/>
      <c r="K128" s="552"/>
      <c r="L128" s="552"/>
      <c r="M128" s="583"/>
    </row>
    <row r="129" spans="1:13" ht="15" customHeight="1">
      <c r="A129" s="601"/>
      <c r="B129" s="953" t="s">
        <v>476</v>
      </c>
      <c r="C129" s="953"/>
      <c r="D129" s="953"/>
      <c r="E129" s="953"/>
      <c r="F129" s="953"/>
      <c r="G129" s="953"/>
      <c r="H129" s="953"/>
      <c r="I129" s="953"/>
      <c r="J129" s="953"/>
      <c r="K129" s="953"/>
      <c r="L129" s="953"/>
      <c r="M129" s="954"/>
    </row>
    <row r="130" spans="1:13" ht="15" customHeight="1">
      <c r="A130" s="601"/>
      <c r="B130" s="953"/>
      <c r="C130" s="953"/>
      <c r="D130" s="953"/>
      <c r="E130" s="953"/>
      <c r="F130" s="953"/>
      <c r="G130" s="953"/>
      <c r="H130" s="953"/>
      <c r="I130" s="953"/>
      <c r="J130" s="953"/>
      <c r="K130" s="953"/>
      <c r="L130" s="953"/>
      <c r="M130" s="954"/>
    </row>
    <row r="131" spans="1:13" ht="15" customHeight="1">
      <c r="A131" s="601"/>
      <c r="B131" s="953"/>
      <c r="C131" s="953"/>
      <c r="D131" s="953"/>
      <c r="E131" s="953"/>
      <c r="F131" s="953"/>
      <c r="G131" s="953"/>
      <c r="H131" s="953"/>
      <c r="I131" s="953"/>
      <c r="J131" s="953"/>
      <c r="K131" s="953"/>
      <c r="L131" s="953"/>
      <c r="M131" s="954"/>
    </row>
    <row r="132" spans="1:13" ht="15" customHeight="1">
      <c r="A132" s="601"/>
      <c r="B132" s="552"/>
      <c r="C132" s="607"/>
      <c r="D132" s="607"/>
      <c r="E132" s="552"/>
      <c r="F132" s="552"/>
      <c r="G132" s="552"/>
      <c r="H132" s="552"/>
      <c r="I132" s="552"/>
      <c r="J132" s="552"/>
      <c r="K132" s="552"/>
      <c r="L132" s="552"/>
      <c r="M132" s="583"/>
    </row>
    <row r="133" spans="1:13" ht="15" customHeight="1">
      <c r="A133" s="798" t="s">
        <v>477</v>
      </c>
      <c r="B133" s="552" t="s">
        <v>478</v>
      </c>
      <c r="C133" s="607"/>
      <c r="D133" s="607"/>
      <c r="E133" s="552"/>
      <c r="F133" s="552"/>
      <c r="G133" s="552"/>
      <c r="H133" s="552"/>
      <c r="I133" s="552"/>
      <c r="J133" s="552"/>
      <c r="K133" s="552"/>
      <c r="L133" s="552"/>
      <c r="M133" s="583"/>
    </row>
    <row r="134" spans="1:13" ht="15" customHeight="1">
      <c r="A134" s="601"/>
      <c r="B134" s="953" t="s">
        <v>479</v>
      </c>
      <c r="C134" s="953"/>
      <c r="D134" s="953"/>
      <c r="E134" s="953"/>
      <c r="F134" s="953"/>
      <c r="G134" s="953"/>
      <c r="H134" s="953"/>
      <c r="I134" s="953"/>
      <c r="J134" s="953"/>
      <c r="K134" s="953"/>
      <c r="L134" s="953"/>
      <c r="M134" s="954"/>
    </row>
    <row r="135" spans="1:13" ht="15" customHeight="1">
      <c r="A135" s="601"/>
      <c r="B135" s="953"/>
      <c r="C135" s="953"/>
      <c r="D135" s="953"/>
      <c r="E135" s="953"/>
      <c r="F135" s="953"/>
      <c r="G135" s="953"/>
      <c r="H135" s="953"/>
      <c r="I135" s="953"/>
      <c r="J135" s="953"/>
      <c r="K135" s="953"/>
      <c r="L135" s="953"/>
      <c r="M135" s="954"/>
    </row>
    <row r="136" spans="1:13" ht="15" customHeight="1">
      <c r="A136" s="601"/>
      <c r="B136" s="953"/>
      <c r="C136" s="953"/>
      <c r="D136" s="953"/>
      <c r="E136" s="953"/>
      <c r="F136" s="953"/>
      <c r="G136" s="953"/>
      <c r="H136" s="953"/>
      <c r="I136" s="953"/>
      <c r="J136" s="953"/>
      <c r="K136" s="953"/>
      <c r="L136" s="953"/>
      <c r="M136" s="954"/>
    </row>
    <row r="137" spans="1:13" ht="15" customHeight="1">
      <c r="A137" s="601"/>
      <c r="B137" s="953"/>
      <c r="C137" s="953"/>
      <c r="D137" s="953"/>
      <c r="E137" s="953"/>
      <c r="F137" s="953"/>
      <c r="G137" s="953"/>
      <c r="H137" s="953"/>
      <c r="I137" s="953"/>
      <c r="J137" s="953"/>
      <c r="K137" s="953"/>
      <c r="L137" s="953"/>
      <c r="M137" s="954"/>
    </row>
    <row r="138" spans="1:13" ht="15" customHeight="1">
      <c r="A138" s="601"/>
      <c r="B138" s="552"/>
      <c r="C138" s="607"/>
      <c r="D138" s="607"/>
      <c r="E138" s="552"/>
      <c r="F138" s="552"/>
      <c r="G138" s="552"/>
      <c r="H138" s="552"/>
      <c r="I138" s="552"/>
      <c r="J138" s="552"/>
      <c r="K138" s="552"/>
      <c r="L138" s="552"/>
      <c r="M138" s="583"/>
    </row>
    <row r="139" spans="1:13" ht="15" customHeight="1">
      <c r="A139" s="798" t="s">
        <v>480</v>
      </c>
      <c r="B139" s="552" t="s">
        <v>481</v>
      </c>
      <c r="C139" s="607"/>
      <c r="D139" s="607"/>
      <c r="E139" s="552"/>
      <c r="F139" s="552"/>
      <c r="G139" s="552"/>
      <c r="H139" s="552"/>
      <c r="I139" s="552"/>
      <c r="J139" s="552"/>
      <c r="K139" s="552"/>
      <c r="L139" s="552"/>
      <c r="M139" s="583"/>
    </row>
    <row r="140" spans="1:13" ht="15" customHeight="1">
      <c r="A140" s="601"/>
      <c r="B140" s="558" t="s">
        <v>437</v>
      </c>
      <c r="C140" s="953" t="s">
        <v>482</v>
      </c>
      <c r="D140" s="953"/>
      <c r="E140" s="953"/>
      <c r="F140" s="953"/>
      <c r="G140" s="953"/>
      <c r="H140" s="953"/>
      <c r="I140" s="953"/>
      <c r="J140" s="953"/>
      <c r="K140" s="953"/>
      <c r="L140" s="953"/>
      <c r="M140" s="954"/>
    </row>
    <row r="141" spans="1:13" ht="15" customHeight="1">
      <c r="A141" s="601"/>
      <c r="B141" s="558"/>
      <c r="C141" s="953"/>
      <c r="D141" s="953"/>
      <c r="E141" s="953"/>
      <c r="F141" s="953"/>
      <c r="G141" s="953"/>
      <c r="H141" s="953"/>
      <c r="I141" s="953"/>
      <c r="J141" s="953"/>
      <c r="K141" s="953"/>
      <c r="L141" s="953"/>
      <c r="M141" s="954"/>
    </row>
    <row r="142" spans="1:13" ht="15" customHeight="1">
      <c r="A142" s="601"/>
      <c r="B142" s="558"/>
      <c r="C142" s="953"/>
      <c r="D142" s="953"/>
      <c r="E142" s="953"/>
      <c r="F142" s="953"/>
      <c r="G142" s="953"/>
      <c r="H142" s="953"/>
      <c r="I142" s="953"/>
      <c r="J142" s="953"/>
      <c r="K142" s="953"/>
      <c r="L142" s="953"/>
      <c r="M142" s="954"/>
    </row>
    <row r="143" spans="1:13" ht="15" customHeight="1">
      <c r="A143" s="601"/>
      <c r="B143" s="558" t="s">
        <v>439</v>
      </c>
      <c r="C143" s="953" t="s">
        <v>483</v>
      </c>
      <c r="D143" s="953"/>
      <c r="E143" s="953"/>
      <c r="F143" s="953"/>
      <c r="G143" s="953"/>
      <c r="H143" s="953"/>
      <c r="I143" s="953"/>
      <c r="J143" s="953"/>
      <c r="K143" s="953"/>
      <c r="L143" s="953"/>
      <c r="M143" s="954"/>
    </row>
    <row r="144" spans="1:13" ht="15" customHeight="1">
      <c r="A144" s="608"/>
      <c r="B144" s="560"/>
      <c r="C144" s="966"/>
      <c r="D144" s="966"/>
      <c r="E144" s="966"/>
      <c r="F144" s="966"/>
      <c r="G144" s="966"/>
      <c r="H144" s="966"/>
      <c r="I144" s="966"/>
      <c r="J144" s="966"/>
      <c r="K144" s="966"/>
      <c r="L144" s="966"/>
      <c r="M144" s="967"/>
    </row>
    <row r="145" spans="1:13" ht="15" customHeight="1">
      <c r="A145" s="600"/>
      <c r="B145" s="550"/>
      <c r="C145" s="609"/>
      <c r="D145" s="609"/>
      <c r="E145" s="550"/>
      <c r="F145" s="550"/>
      <c r="G145" s="550"/>
      <c r="H145" s="550"/>
      <c r="I145" s="550"/>
      <c r="J145" s="550"/>
      <c r="K145" s="550"/>
      <c r="L145" s="550"/>
      <c r="M145" s="581"/>
    </row>
    <row r="146" spans="1:13" ht="15" customHeight="1">
      <c r="A146" s="798" t="s">
        <v>484</v>
      </c>
      <c r="B146" s="552" t="s">
        <v>485</v>
      </c>
      <c r="C146" s="607"/>
      <c r="D146" s="607"/>
      <c r="E146" s="552"/>
      <c r="F146" s="552"/>
      <c r="G146" s="552"/>
      <c r="H146" s="552"/>
      <c r="I146" s="552"/>
      <c r="J146" s="552"/>
      <c r="K146" s="552"/>
      <c r="L146" s="552"/>
      <c r="M146" s="583"/>
    </row>
    <row r="147" spans="1:13" ht="15" customHeight="1">
      <c r="A147" s="601"/>
      <c r="B147" s="558" t="s">
        <v>437</v>
      </c>
      <c r="C147" s="953" t="s">
        <v>486</v>
      </c>
      <c r="D147" s="953"/>
      <c r="E147" s="953"/>
      <c r="F147" s="953"/>
      <c r="G147" s="953"/>
      <c r="H147" s="953"/>
      <c r="I147" s="953"/>
      <c r="J147" s="953"/>
      <c r="K147" s="953"/>
      <c r="L147" s="953"/>
      <c r="M147" s="954"/>
    </row>
    <row r="148" spans="1:13" ht="15" customHeight="1">
      <c r="A148" s="601"/>
      <c r="B148" s="558"/>
      <c r="C148" s="953"/>
      <c r="D148" s="953"/>
      <c r="E148" s="953"/>
      <c r="F148" s="953"/>
      <c r="G148" s="953"/>
      <c r="H148" s="953"/>
      <c r="I148" s="953"/>
      <c r="J148" s="953"/>
      <c r="K148" s="953"/>
      <c r="L148" s="953"/>
      <c r="M148" s="954"/>
    </row>
    <row r="149" spans="1:13" ht="15" customHeight="1">
      <c r="A149" s="601"/>
      <c r="B149" s="558"/>
      <c r="C149" s="953"/>
      <c r="D149" s="953"/>
      <c r="E149" s="953"/>
      <c r="F149" s="953"/>
      <c r="G149" s="953"/>
      <c r="H149" s="953"/>
      <c r="I149" s="953"/>
      <c r="J149" s="953"/>
      <c r="K149" s="953"/>
      <c r="L149" s="953"/>
      <c r="M149" s="954"/>
    </row>
    <row r="150" spans="1:13" ht="15" customHeight="1">
      <c r="A150" s="601"/>
      <c r="B150" s="558"/>
      <c r="C150" s="953"/>
      <c r="D150" s="953"/>
      <c r="E150" s="953"/>
      <c r="F150" s="953"/>
      <c r="G150" s="953"/>
      <c r="H150" s="953"/>
      <c r="I150" s="953"/>
      <c r="J150" s="953"/>
      <c r="K150" s="953"/>
      <c r="L150" s="953"/>
      <c r="M150" s="954"/>
    </row>
    <row r="151" spans="1:13" ht="15" customHeight="1">
      <c r="A151" s="601"/>
      <c r="B151" s="558" t="s">
        <v>439</v>
      </c>
      <c r="C151" s="953" t="s">
        <v>487</v>
      </c>
      <c r="D151" s="953"/>
      <c r="E151" s="953"/>
      <c r="F151" s="953"/>
      <c r="G151" s="953"/>
      <c r="H151" s="953"/>
      <c r="I151" s="953"/>
      <c r="J151" s="953"/>
      <c r="K151" s="953"/>
      <c r="L151" s="953"/>
      <c r="M151" s="954"/>
    </row>
    <row r="152" spans="1:13" ht="15" customHeight="1">
      <c r="A152" s="601"/>
      <c r="B152" s="558"/>
      <c r="C152" s="953"/>
      <c r="D152" s="953"/>
      <c r="E152" s="953"/>
      <c r="F152" s="953"/>
      <c r="G152" s="953"/>
      <c r="H152" s="953"/>
      <c r="I152" s="953"/>
      <c r="J152" s="953"/>
      <c r="K152" s="953"/>
      <c r="L152" s="953"/>
      <c r="M152" s="954"/>
    </row>
    <row r="153" spans="1:13" ht="15" customHeight="1">
      <c r="A153" s="601"/>
      <c r="B153" s="558" t="s">
        <v>431</v>
      </c>
      <c r="C153" s="953" t="s">
        <v>488</v>
      </c>
      <c r="D153" s="953"/>
      <c r="E153" s="953"/>
      <c r="F153" s="953"/>
      <c r="G153" s="953"/>
      <c r="H153" s="953"/>
      <c r="I153" s="953"/>
      <c r="J153" s="953"/>
      <c r="K153" s="953"/>
      <c r="L153" s="953"/>
      <c r="M153" s="954"/>
    </row>
    <row r="154" spans="1:13" ht="15" customHeight="1">
      <c r="A154" s="601"/>
      <c r="B154" s="558"/>
      <c r="C154" s="953"/>
      <c r="D154" s="953"/>
      <c r="E154" s="953"/>
      <c r="F154" s="953"/>
      <c r="G154" s="953"/>
      <c r="H154" s="953"/>
      <c r="I154" s="953"/>
      <c r="J154" s="953"/>
      <c r="K154" s="953"/>
      <c r="L154" s="953"/>
      <c r="M154" s="954"/>
    </row>
    <row r="155" spans="1:13" ht="15" customHeight="1">
      <c r="A155" s="601"/>
      <c r="B155" s="558" t="s">
        <v>433</v>
      </c>
      <c r="C155" s="953" t="s">
        <v>489</v>
      </c>
      <c r="D155" s="953"/>
      <c r="E155" s="953"/>
      <c r="F155" s="953"/>
      <c r="G155" s="953"/>
      <c r="H155" s="953"/>
      <c r="I155" s="953"/>
      <c r="J155" s="953"/>
      <c r="K155" s="953"/>
      <c r="L155" s="953"/>
      <c r="M155" s="954"/>
    </row>
    <row r="156" spans="1:13" ht="15" customHeight="1">
      <c r="A156" s="601"/>
      <c r="B156" s="558"/>
      <c r="C156" s="953"/>
      <c r="D156" s="953"/>
      <c r="E156" s="953"/>
      <c r="F156" s="953"/>
      <c r="G156" s="953"/>
      <c r="H156" s="953"/>
      <c r="I156" s="953"/>
      <c r="J156" s="953"/>
      <c r="K156" s="953"/>
      <c r="L156" s="953"/>
      <c r="M156" s="954"/>
    </row>
    <row r="157" spans="1:13" ht="15" customHeight="1">
      <c r="A157" s="601"/>
      <c r="B157" s="552"/>
      <c r="C157" s="607"/>
      <c r="D157" s="607"/>
      <c r="E157" s="552"/>
      <c r="F157" s="552"/>
      <c r="G157" s="552"/>
      <c r="H157" s="552"/>
      <c r="I157" s="552"/>
      <c r="J157" s="552"/>
      <c r="K157" s="552"/>
      <c r="L157" s="552"/>
      <c r="M157" s="583"/>
    </row>
    <row r="158" spans="1:13" ht="15" customHeight="1">
      <c r="A158" s="798" t="s">
        <v>490</v>
      </c>
      <c r="B158" s="552" t="s">
        <v>491</v>
      </c>
      <c r="C158" s="607"/>
      <c r="D158" s="607"/>
      <c r="E158" s="552"/>
      <c r="F158" s="552"/>
      <c r="G158" s="552"/>
      <c r="H158" s="552"/>
      <c r="I158" s="552"/>
      <c r="J158" s="552"/>
      <c r="K158" s="552"/>
      <c r="L158" s="552"/>
      <c r="M158" s="583"/>
    </row>
    <row r="159" spans="1:13" ht="15" customHeight="1">
      <c r="A159" s="601"/>
      <c r="B159" s="558" t="s">
        <v>437</v>
      </c>
      <c r="C159" s="953" t="s">
        <v>492</v>
      </c>
      <c r="D159" s="953"/>
      <c r="E159" s="953"/>
      <c r="F159" s="953"/>
      <c r="G159" s="953"/>
      <c r="H159" s="953"/>
      <c r="I159" s="953"/>
      <c r="J159" s="953"/>
      <c r="K159" s="953"/>
      <c r="L159" s="953"/>
      <c r="M159" s="954"/>
    </row>
    <row r="160" spans="1:13" ht="15" customHeight="1">
      <c r="A160" s="601"/>
      <c r="B160" s="558"/>
      <c r="C160" s="953"/>
      <c r="D160" s="953"/>
      <c r="E160" s="953"/>
      <c r="F160" s="953"/>
      <c r="G160" s="953"/>
      <c r="H160" s="953"/>
      <c r="I160" s="953"/>
      <c r="J160" s="953"/>
      <c r="K160" s="953"/>
      <c r="L160" s="953"/>
      <c r="M160" s="954"/>
    </row>
    <row r="161" spans="1:13" ht="15" customHeight="1">
      <c r="A161" s="601"/>
      <c r="B161" s="558" t="s">
        <v>439</v>
      </c>
      <c r="C161" s="953" t="s">
        <v>493</v>
      </c>
      <c r="D161" s="953"/>
      <c r="E161" s="953"/>
      <c r="F161" s="953"/>
      <c r="G161" s="953"/>
      <c r="H161" s="953"/>
      <c r="I161" s="953"/>
      <c r="J161" s="953"/>
      <c r="K161" s="953"/>
      <c r="L161" s="953"/>
      <c r="M161" s="954"/>
    </row>
    <row r="162" spans="1:13" ht="15" customHeight="1">
      <c r="A162" s="601"/>
      <c r="B162" s="558" t="s">
        <v>431</v>
      </c>
      <c r="C162" s="953" t="s">
        <v>494</v>
      </c>
      <c r="D162" s="953"/>
      <c r="E162" s="953"/>
      <c r="F162" s="953"/>
      <c r="G162" s="953"/>
      <c r="H162" s="953"/>
      <c r="I162" s="953"/>
      <c r="J162" s="953"/>
      <c r="K162" s="953"/>
      <c r="L162" s="953"/>
      <c r="M162" s="954"/>
    </row>
    <row r="163" spans="1:13" ht="15" customHeight="1">
      <c r="A163" s="601"/>
      <c r="B163" s="558"/>
      <c r="C163" s="953"/>
      <c r="D163" s="953"/>
      <c r="E163" s="953"/>
      <c r="F163" s="953"/>
      <c r="G163" s="953"/>
      <c r="H163" s="953"/>
      <c r="I163" s="953"/>
      <c r="J163" s="953"/>
      <c r="K163" s="953"/>
      <c r="L163" s="953"/>
      <c r="M163" s="954"/>
    </row>
    <row r="164" spans="1:13" ht="15" customHeight="1">
      <c r="A164" s="601"/>
      <c r="B164" s="558" t="s">
        <v>433</v>
      </c>
      <c r="C164" s="953" t="s">
        <v>495</v>
      </c>
      <c r="D164" s="953"/>
      <c r="E164" s="953"/>
      <c r="F164" s="953"/>
      <c r="G164" s="953"/>
      <c r="H164" s="953"/>
      <c r="I164" s="953"/>
      <c r="J164" s="953"/>
      <c r="K164" s="953"/>
      <c r="L164" s="953"/>
      <c r="M164" s="954"/>
    </row>
    <row r="165" spans="1:13" ht="15" customHeight="1">
      <c r="A165" s="601"/>
      <c r="B165" s="558"/>
      <c r="C165" s="953"/>
      <c r="D165" s="953"/>
      <c r="E165" s="953"/>
      <c r="F165" s="953"/>
      <c r="G165" s="953"/>
      <c r="H165" s="953"/>
      <c r="I165" s="953"/>
      <c r="J165" s="953"/>
      <c r="K165" s="953"/>
      <c r="L165" s="953"/>
      <c r="M165" s="954"/>
    </row>
    <row r="166" spans="1:13" ht="15" customHeight="1">
      <c r="A166" s="601"/>
      <c r="B166" s="558" t="s">
        <v>496</v>
      </c>
      <c r="C166" s="953" t="s">
        <v>497</v>
      </c>
      <c r="D166" s="953"/>
      <c r="E166" s="953"/>
      <c r="F166" s="953"/>
      <c r="G166" s="953"/>
      <c r="H166" s="953"/>
      <c r="I166" s="953"/>
      <c r="J166" s="953"/>
      <c r="K166" s="953"/>
      <c r="L166" s="953"/>
      <c r="M166" s="954"/>
    </row>
    <row r="167" spans="1:13" ht="15" customHeight="1">
      <c r="A167" s="601"/>
      <c r="B167" s="558"/>
      <c r="C167" s="953"/>
      <c r="D167" s="953"/>
      <c r="E167" s="953"/>
      <c r="F167" s="953"/>
      <c r="G167" s="953"/>
      <c r="H167" s="953"/>
      <c r="I167" s="953"/>
      <c r="J167" s="953"/>
      <c r="K167" s="953"/>
      <c r="L167" s="953"/>
      <c r="M167" s="954"/>
    </row>
    <row r="168" spans="1:13" ht="15" customHeight="1">
      <c r="A168" s="601"/>
      <c r="B168" s="558" t="s">
        <v>498</v>
      </c>
      <c r="C168" s="953" t="s">
        <v>499</v>
      </c>
      <c r="D168" s="953"/>
      <c r="E168" s="953"/>
      <c r="F168" s="953"/>
      <c r="G168" s="953"/>
      <c r="H168" s="953"/>
      <c r="I168" s="953"/>
      <c r="J168" s="953"/>
      <c r="K168" s="953"/>
      <c r="L168" s="953"/>
      <c r="M168" s="954"/>
    </row>
    <row r="169" spans="1:13" ht="15" customHeight="1">
      <c r="A169" s="601"/>
      <c r="B169" s="558"/>
      <c r="C169" s="953"/>
      <c r="D169" s="953"/>
      <c r="E169" s="953"/>
      <c r="F169" s="953"/>
      <c r="G169" s="953"/>
      <c r="H169" s="953"/>
      <c r="I169" s="953"/>
      <c r="J169" s="953"/>
      <c r="K169" s="953"/>
      <c r="L169" s="953"/>
      <c r="M169" s="954"/>
    </row>
    <row r="170" spans="1:13" ht="15" customHeight="1">
      <c r="A170" s="601"/>
      <c r="B170" s="552"/>
      <c r="C170" s="607"/>
      <c r="D170" s="607"/>
      <c r="E170" s="552"/>
      <c r="F170" s="552"/>
      <c r="G170" s="552"/>
      <c r="H170" s="552"/>
      <c r="I170" s="552"/>
      <c r="J170" s="552"/>
      <c r="K170" s="552"/>
      <c r="L170" s="552"/>
      <c r="M170" s="583"/>
    </row>
    <row r="171" spans="1:13" ht="15" customHeight="1">
      <c r="A171" s="798" t="s">
        <v>500</v>
      </c>
      <c r="B171" s="552" t="s">
        <v>501</v>
      </c>
      <c r="C171" s="607"/>
      <c r="D171" s="607"/>
      <c r="E171" s="552"/>
      <c r="F171" s="552"/>
      <c r="G171" s="552"/>
      <c r="H171" s="552"/>
      <c r="I171" s="552"/>
      <c r="J171" s="552"/>
      <c r="K171" s="552"/>
      <c r="L171" s="552"/>
      <c r="M171" s="583"/>
    </row>
    <row r="172" spans="1:13" ht="15" customHeight="1">
      <c r="A172" s="601"/>
      <c r="B172" s="558" t="s">
        <v>437</v>
      </c>
      <c r="C172" s="953" t="s">
        <v>502</v>
      </c>
      <c r="D172" s="953"/>
      <c r="E172" s="953"/>
      <c r="F172" s="953"/>
      <c r="G172" s="953"/>
      <c r="H172" s="953"/>
      <c r="I172" s="953"/>
      <c r="J172" s="953"/>
      <c r="K172" s="953"/>
      <c r="L172" s="953"/>
      <c r="M172" s="954"/>
    </row>
    <row r="173" spans="1:13" ht="15" customHeight="1">
      <c r="A173" s="601"/>
      <c r="B173" s="558"/>
      <c r="C173" s="953"/>
      <c r="D173" s="953"/>
      <c r="E173" s="953"/>
      <c r="F173" s="953"/>
      <c r="G173" s="953"/>
      <c r="H173" s="953"/>
      <c r="I173" s="953"/>
      <c r="J173" s="953"/>
      <c r="K173" s="953"/>
      <c r="L173" s="953"/>
      <c r="M173" s="954"/>
    </row>
    <row r="174" spans="1:13" ht="15" customHeight="1">
      <c r="A174" s="601"/>
      <c r="B174" s="558"/>
      <c r="C174" s="953"/>
      <c r="D174" s="953"/>
      <c r="E174" s="953"/>
      <c r="F174" s="953"/>
      <c r="G174" s="953"/>
      <c r="H174" s="953"/>
      <c r="I174" s="953"/>
      <c r="J174" s="953"/>
      <c r="K174" s="953"/>
      <c r="L174" s="953"/>
      <c r="M174" s="954"/>
    </row>
    <row r="175" spans="1:13" ht="15" customHeight="1">
      <c r="A175" s="601"/>
      <c r="B175" s="558" t="s">
        <v>439</v>
      </c>
      <c r="C175" s="953" t="s">
        <v>503</v>
      </c>
      <c r="D175" s="953"/>
      <c r="E175" s="953"/>
      <c r="F175" s="953"/>
      <c r="G175" s="953"/>
      <c r="H175" s="953"/>
      <c r="I175" s="953"/>
      <c r="J175" s="953"/>
      <c r="K175" s="953"/>
      <c r="L175" s="953"/>
      <c r="M175" s="954"/>
    </row>
    <row r="176" spans="1:13" ht="15" customHeight="1">
      <c r="A176" s="601"/>
      <c r="B176" s="558" t="s">
        <v>431</v>
      </c>
      <c r="C176" s="953" t="s">
        <v>504</v>
      </c>
      <c r="D176" s="953"/>
      <c r="E176" s="953"/>
      <c r="F176" s="953"/>
      <c r="G176" s="953"/>
      <c r="H176" s="953"/>
      <c r="I176" s="953"/>
      <c r="J176" s="953"/>
      <c r="K176" s="953"/>
      <c r="L176" s="953"/>
      <c r="M176" s="954"/>
    </row>
    <row r="177" spans="1:13" ht="15" customHeight="1">
      <c r="A177" s="601"/>
      <c r="B177" s="558"/>
      <c r="C177" s="953"/>
      <c r="D177" s="953"/>
      <c r="E177" s="953"/>
      <c r="F177" s="953"/>
      <c r="G177" s="953"/>
      <c r="H177" s="953"/>
      <c r="I177" s="953"/>
      <c r="J177" s="953"/>
      <c r="K177" s="953"/>
      <c r="L177" s="953"/>
      <c r="M177" s="954"/>
    </row>
    <row r="178" spans="1:13" ht="15" customHeight="1">
      <c r="A178" s="601"/>
      <c r="B178" s="558" t="s">
        <v>433</v>
      </c>
      <c r="C178" s="953" t="s">
        <v>505</v>
      </c>
      <c r="D178" s="953"/>
      <c r="E178" s="953"/>
      <c r="F178" s="953"/>
      <c r="G178" s="953"/>
      <c r="H178" s="953"/>
      <c r="I178" s="953"/>
      <c r="J178" s="953"/>
      <c r="K178" s="953"/>
      <c r="L178" s="953"/>
      <c r="M178" s="954"/>
    </row>
    <row r="179" spans="1:13" ht="15" customHeight="1">
      <c r="A179" s="601"/>
      <c r="B179" s="558"/>
      <c r="C179" s="953"/>
      <c r="D179" s="953"/>
      <c r="E179" s="953"/>
      <c r="F179" s="953"/>
      <c r="G179" s="953"/>
      <c r="H179" s="953"/>
      <c r="I179" s="953"/>
      <c r="J179" s="953"/>
      <c r="K179" s="953"/>
      <c r="L179" s="953"/>
      <c r="M179" s="954"/>
    </row>
    <row r="180" spans="1:13" ht="15" customHeight="1">
      <c r="A180" s="601"/>
      <c r="B180" s="558"/>
      <c r="C180" s="953"/>
      <c r="D180" s="953"/>
      <c r="E180" s="953"/>
      <c r="F180" s="953"/>
      <c r="G180" s="953"/>
      <c r="H180" s="953"/>
      <c r="I180" s="953"/>
      <c r="J180" s="953"/>
      <c r="K180" s="953"/>
      <c r="L180" s="953"/>
      <c r="M180" s="954"/>
    </row>
    <row r="181" spans="1:13" ht="15" customHeight="1">
      <c r="A181" s="601"/>
      <c r="B181" s="558" t="s">
        <v>496</v>
      </c>
      <c r="C181" s="953" t="s">
        <v>506</v>
      </c>
      <c r="D181" s="953"/>
      <c r="E181" s="953"/>
      <c r="F181" s="953"/>
      <c r="G181" s="953"/>
      <c r="H181" s="953"/>
      <c r="I181" s="953"/>
      <c r="J181" s="953"/>
      <c r="K181" s="953"/>
      <c r="L181" s="953"/>
      <c r="M181" s="954"/>
    </row>
    <row r="182" spans="1:13" ht="15" customHeight="1">
      <c r="A182" s="601"/>
      <c r="B182" s="558"/>
      <c r="C182" s="953"/>
      <c r="D182" s="953"/>
      <c r="E182" s="953"/>
      <c r="F182" s="953"/>
      <c r="G182" s="953"/>
      <c r="H182" s="953"/>
      <c r="I182" s="953"/>
      <c r="J182" s="953"/>
      <c r="K182" s="953"/>
      <c r="L182" s="953"/>
      <c r="M182" s="954"/>
    </row>
    <row r="183" spans="1:13" ht="15" customHeight="1">
      <c r="A183" s="601"/>
      <c r="B183" s="558"/>
      <c r="C183" s="953"/>
      <c r="D183" s="953"/>
      <c r="E183" s="953"/>
      <c r="F183" s="953"/>
      <c r="G183" s="953"/>
      <c r="H183" s="953"/>
      <c r="I183" s="953"/>
      <c r="J183" s="953"/>
      <c r="K183" s="953"/>
      <c r="L183" s="953"/>
      <c r="M183" s="954"/>
    </row>
    <row r="184" spans="1:13" ht="15" customHeight="1">
      <c r="A184" s="601"/>
      <c r="B184" s="558"/>
      <c r="C184" s="953"/>
      <c r="D184" s="953"/>
      <c r="E184" s="953"/>
      <c r="F184" s="953"/>
      <c r="G184" s="953"/>
      <c r="H184" s="953"/>
      <c r="I184" s="953"/>
      <c r="J184" s="953"/>
      <c r="K184" s="953"/>
      <c r="L184" s="953"/>
      <c r="M184" s="954"/>
    </row>
    <row r="185" spans="1:13" ht="15" customHeight="1">
      <c r="A185" s="601"/>
      <c r="B185" s="558"/>
      <c r="C185" s="953"/>
      <c r="D185" s="953"/>
      <c r="E185" s="953"/>
      <c r="F185" s="953"/>
      <c r="G185" s="953"/>
      <c r="H185" s="953"/>
      <c r="I185" s="953"/>
      <c r="J185" s="953"/>
      <c r="K185" s="953"/>
      <c r="L185" s="953"/>
      <c r="M185" s="954"/>
    </row>
    <row r="186" spans="1:13" ht="15" customHeight="1">
      <c r="A186" s="601"/>
      <c r="B186" s="558" t="s">
        <v>498</v>
      </c>
      <c r="C186" s="953" t="s">
        <v>507</v>
      </c>
      <c r="D186" s="953"/>
      <c r="E186" s="953"/>
      <c r="F186" s="953"/>
      <c r="G186" s="953"/>
      <c r="H186" s="953"/>
      <c r="I186" s="953"/>
      <c r="J186" s="953"/>
      <c r="K186" s="953"/>
      <c r="L186" s="953"/>
      <c r="M186" s="954"/>
    </row>
    <row r="187" spans="1:13" ht="15" customHeight="1">
      <c r="A187" s="601"/>
      <c r="B187" s="558"/>
      <c r="C187" s="953"/>
      <c r="D187" s="953"/>
      <c r="E187" s="953"/>
      <c r="F187" s="953"/>
      <c r="G187" s="953"/>
      <c r="H187" s="953"/>
      <c r="I187" s="953"/>
      <c r="J187" s="953"/>
      <c r="K187" s="953"/>
      <c r="L187" s="953"/>
      <c r="M187" s="954"/>
    </row>
    <row r="188" spans="1:13" ht="15" customHeight="1">
      <c r="A188" s="601"/>
      <c r="B188" s="558"/>
      <c r="C188" s="558"/>
      <c r="D188" s="558"/>
      <c r="E188" s="558"/>
      <c r="F188" s="558"/>
      <c r="G188" s="558"/>
      <c r="H188" s="558"/>
      <c r="I188" s="558"/>
      <c r="J188" s="558"/>
      <c r="K188" s="558"/>
      <c r="L188" s="558"/>
      <c r="M188" s="589"/>
    </row>
    <row r="189" spans="1:13" ht="15" customHeight="1">
      <c r="A189" s="798" t="s">
        <v>508</v>
      </c>
      <c r="B189" s="552" t="s">
        <v>509</v>
      </c>
      <c r="C189" s="607"/>
      <c r="D189" s="607"/>
      <c r="E189" s="552"/>
      <c r="F189" s="552"/>
      <c r="G189" s="552"/>
      <c r="H189" s="552"/>
      <c r="I189" s="552"/>
      <c r="J189" s="552"/>
      <c r="K189" s="552"/>
      <c r="L189" s="552"/>
      <c r="M189" s="583"/>
    </row>
    <row r="190" spans="1:13" ht="15" customHeight="1">
      <c r="A190" s="601"/>
      <c r="B190" s="558" t="s">
        <v>437</v>
      </c>
      <c r="C190" s="953" t="s">
        <v>510</v>
      </c>
      <c r="D190" s="953"/>
      <c r="E190" s="953"/>
      <c r="F190" s="953"/>
      <c r="G190" s="953"/>
      <c r="H190" s="953"/>
      <c r="I190" s="953"/>
      <c r="J190" s="953"/>
      <c r="K190" s="953"/>
      <c r="L190" s="953"/>
      <c r="M190" s="954"/>
    </row>
    <row r="191" spans="1:13" ht="15" customHeight="1">
      <c r="A191" s="601"/>
      <c r="B191" s="558" t="s">
        <v>429</v>
      </c>
      <c r="C191" s="953" t="s">
        <v>511</v>
      </c>
      <c r="D191" s="953"/>
      <c r="E191" s="953"/>
      <c r="F191" s="953"/>
      <c r="G191" s="953"/>
      <c r="H191" s="953"/>
      <c r="I191" s="953"/>
      <c r="J191" s="953"/>
      <c r="K191" s="953"/>
      <c r="L191" s="953"/>
      <c r="M191" s="954"/>
    </row>
    <row r="192" spans="1:13" ht="15" customHeight="1">
      <c r="A192" s="601"/>
      <c r="B192" s="558"/>
      <c r="C192" s="953"/>
      <c r="D192" s="953"/>
      <c r="E192" s="953"/>
      <c r="F192" s="953"/>
      <c r="G192" s="953"/>
      <c r="H192" s="953"/>
      <c r="I192" s="953"/>
      <c r="J192" s="953"/>
      <c r="K192" s="953"/>
      <c r="L192" s="953"/>
      <c r="M192" s="954"/>
    </row>
    <row r="193" spans="1:13" ht="15" customHeight="1">
      <c r="A193" s="601"/>
      <c r="B193" s="558"/>
      <c r="C193" s="558" t="s">
        <v>459</v>
      </c>
      <c r="D193" s="953" t="s">
        <v>512</v>
      </c>
      <c r="E193" s="953"/>
      <c r="F193" s="953"/>
      <c r="G193" s="953"/>
      <c r="H193" s="953"/>
      <c r="I193" s="953"/>
      <c r="J193" s="953"/>
      <c r="K193" s="953"/>
      <c r="L193" s="953"/>
      <c r="M193" s="954"/>
    </row>
    <row r="194" spans="1:13" ht="15" customHeight="1">
      <c r="A194" s="601"/>
      <c r="B194" s="558"/>
      <c r="C194" s="558" t="s">
        <v>461</v>
      </c>
      <c r="D194" s="953" t="s">
        <v>513</v>
      </c>
      <c r="E194" s="953"/>
      <c r="F194" s="953"/>
      <c r="G194" s="953"/>
      <c r="H194" s="953"/>
      <c r="I194" s="953"/>
      <c r="J194" s="953"/>
      <c r="K194" s="953"/>
      <c r="L194" s="953"/>
      <c r="M194" s="954"/>
    </row>
    <row r="195" spans="1:13" ht="15" customHeight="1">
      <c r="A195" s="601"/>
      <c r="B195" s="558"/>
      <c r="C195" s="558" t="s">
        <v>469</v>
      </c>
      <c r="D195" s="953" t="s">
        <v>514</v>
      </c>
      <c r="E195" s="953"/>
      <c r="F195" s="953"/>
      <c r="G195" s="953"/>
      <c r="H195" s="953"/>
      <c r="I195" s="953"/>
      <c r="J195" s="953"/>
      <c r="K195" s="953"/>
      <c r="L195" s="953"/>
      <c r="M195" s="954"/>
    </row>
    <row r="196" spans="1:13" ht="15" customHeight="1">
      <c r="A196" s="608"/>
      <c r="B196" s="560"/>
      <c r="C196" s="560" t="s">
        <v>515</v>
      </c>
      <c r="D196" s="966" t="s">
        <v>516</v>
      </c>
      <c r="E196" s="966"/>
      <c r="F196" s="966"/>
      <c r="G196" s="966"/>
      <c r="H196" s="966"/>
      <c r="I196" s="966"/>
      <c r="J196" s="966"/>
      <c r="K196" s="966"/>
      <c r="L196" s="966"/>
      <c r="M196" s="967"/>
    </row>
    <row r="197" spans="1:13" ht="15" customHeight="1">
      <c r="A197" s="600"/>
      <c r="B197" s="570" t="s">
        <v>431</v>
      </c>
      <c r="C197" s="968" t="s">
        <v>517</v>
      </c>
      <c r="D197" s="968"/>
      <c r="E197" s="968"/>
      <c r="F197" s="968"/>
      <c r="G197" s="968"/>
      <c r="H197" s="968"/>
      <c r="I197" s="968"/>
      <c r="J197" s="968"/>
      <c r="K197" s="968"/>
      <c r="L197" s="968"/>
      <c r="M197" s="969"/>
    </row>
    <row r="198" spans="1:13" ht="15" customHeight="1">
      <c r="A198" s="601"/>
      <c r="B198" s="552"/>
      <c r="C198" s="607"/>
      <c r="D198" s="607"/>
      <c r="E198" s="552"/>
      <c r="F198" s="552"/>
      <c r="G198" s="552"/>
      <c r="H198" s="552"/>
      <c r="I198" s="552"/>
      <c r="J198" s="552"/>
      <c r="K198" s="552"/>
      <c r="L198" s="552"/>
      <c r="M198" s="583"/>
    </row>
    <row r="199" spans="1:13" ht="15" customHeight="1">
      <c r="A199" s="798" t="s">
        <v>518</v>
      </c>
      <c r="B199" s="552" t="s">
        <v>519</v>
      </c>
      <c r="C199" s="607"/>
      <c r="D199" s="607"/>
      <c r="E199" s="552"/>
      <c r="F199" s="552"/>
      <c r="G199" s="552"/>
      <c r="H199" s="552"/>
      <c r="I199" s="552"/>
      <c r="J199" s="552"/>
      <c r="K199" s="552"/>
      <c r="L199" s="552"/>
      <c r="M199" s="583"/>
    </row>
    <row r="200" spans="1:13" ht="15" customHeight="1">
      <c r="A200" s="601"/>
      <c r="B200" s="558" t="s">
        <v>437</v>
      </c>
      <c r="C200" s="953" t="s">
        <v>520</v>
      </c>
      <c r="D200" s="953"/>
      <c r="E200" s="953"/>
      <c r="F200" s="953"/>
      <c r="G200" s="953"/>
      <c r="H200" s="953"/>
      <c r="I200" s="953"/>
      <c r="J200" s="953"/>
      <c r="K200" s="953"/>
      <c r="L200" s="953"/>
      <c r="M200" s="954"/>
    </row>
    <row r="201" spans="1:13" ht="15" customHeight="1">
      <c r="A201" s="601"/>
      <c r="B201" s="558"/>
      <c r="C201" s="558" t="s">
        <v>459</v>
      </c>
      <c r="D201" s="953" t="s">
        <v>521</v>
      </c>
      <c r="E201" s="953"/>
      <c r="F201" s="953"/>
      <c r="G201" s="953"/>
      <c r="H201" s="953"/>
      <c r="I201" s="953"/>
      <c r="J201" s="953"/>
      <c r="K201" s="953"/>
      <c r="L201" s="953"/>
      <c r="M201" s="954"/>
    </row>
    <row r="202" spans="1:13" ht="15" customHeight="1">
      <c r="A202" s="601"/>
      <c r="B202" s="558"/>
      <c r="C202" s="558" t="s">
        <v>461</v>
      </c>
      <c r="D202" s="953" t="s">
        <v>522</v>
      </c>
      <c r="E202" s="953"/>
      <c r="F202" s="953"/>
      <c r="G202" s="953"/>
      <c r="H202" s="953"/>
      <c r="I202" s="953"/>
      <c r="J202" s="953"/>
      <c r="K202" s="953"/>
      <c r="L202" s="953"/>
      <c r="M202" s="954"/>
    </row>
    <row r="203" spans="1:13" ht="15" customHeight="1">
      <c r="A203" s="601"/>
      <c r="B203" s="558"/>
      <c r="C203" s="558" t="s">
        <v>469</v>
      </c>
      <c r="D203" s="964" t="s">
        <v>523</v>
      </c>
      <c r="E203" s="964"/>
      <c r="F203" s="964"/>
      <c r="G203" s="964"/>
      <c r="H203" s="964"/>
      <c r="I203" s="964"/>
      <c r="J203" s="964"/>
      <c r="K203" s="964"/>
      <c r="L203" s="964"/>
      <c r="M203" s="965"/>
    </row>
    <row r="204" spans="1:13" ht="15" customHeight="1">
      <c r="A204" s="601"/>
      <c r="B204" s="558"/>
      <c r="C204" s="558"/>
      <c r="D204" s="964"/>
      <c r="E204" s="964"/>
      <c r="F204" s="964"/>
      <c r="G204" s="964"/>
      <c r="H204" s="964"/>
      <c r="I204" s="964"/>
      <c r="J204" s="964"/>
      <c r="K204" s="964"/>
      <c r="L204" s="964"/>
      <c r="M204" s="965"/>
    </row>
    <row r="205" spans="1:13" ht="15" customHeight="1">
      <c r="A205" s="601"/>
      <c r="B205" s="558"/>
      <c r="C205" s="558" t="s">
        <v>515</v>
      </c>
      <c r="D205" s="953" t="s">
        <v>524</v>
      </c>
      <c r="E205" s="953"/>
      <c r="F205" s="953"/>
      <c r="G205" s="953"/>
      <c r="H205" s="953"/>
      <c r="I205" s="953"/>
      <c r="J205" s="953"/>
      <c r="K205" s="953"/>
      <c r="L205" s="953"/>
      <c r="M205" s="954"/>
    </row>
    <row r="206" spans="1:13" ht="15" customHeight="1">
      <c r="A206" s="601"/>
      <c r="B206" s="558"/>
      <c r="C206" s="558" t="s">
        <v>525</v>
      </c>
      <c r="D206" s="953" t="s">
        <v>526</v>
      </c>
      <c r="E206" s="953"/>
      <c r="F206" s="953"/>
      <c r="G206" s="953"/>
      <c r="H206" s="953"/>
      <c r="I206" s="953"/>
      <c r="J206" s="953"/>
      <c r="K206" s="953"/>
      <c r="L206" s="953"/>
      <c r="M206" s="954"/>
    </row>
    <row r="207" spans="1:13" ht="15" customHeight="1">
      <c r="A207" s="601"/>
      <c r="B207" s="558"/>
      <c r="C207" s="558"/>
      <c r="D207" s="953"/>
      <c r="E207" s="953"/>
      <c r="F207" s="953"/>
      <c r="G207" s="953"/>
      <c r="H207" s="953"/>
      <c r="I207" s="953"/>
      <c r="J207" s="953"/>
      <c r="K207" s="953"/>
      <c r="L207" s="953"/>
      <c r="M207" s="954"/>
    </row>
    <row r="208" spans="1:13" ht="15" customHeight="1">
      <c r="A208" s="601"/>
      <c r="B208" s="558"/>
      <c r="C208" s="558" t="s">
        <v>527</v>
      </c>
      <c r="D208" s="964" t="s">
        <v>528</v>
      </c>
      <c r="E208" s="964"/>
      <c r="F208" s="964"/>
      <c r="G208" s="964"/>
      <c r="H208" s="964"/>
      <c r="I208" s="964"/>
      <c r="J208" s="964"/>
      <c r="K208" s="964"/>
      <c r="L208" s="964"/>
      <c r="M208" s="965"/>
    </row>
    <row r="209" spans="1:13" ht="15" customHeight="1">
      <c r="A209" s="601"/>
      <c r="B209" s="558"/>
      <c r="C209" s="558"/>
      <c r="D209" s="964"/>
      <c r="E209" s="964"/>
      <c r="F209" s="964"/>
      <c r="G209" s="964"/>
      <c r="H209" s="964"/>
      <c r="I209" s="964"/>
      <c r="J209" s="964"/>
      <c r="K209" s="964"/>
      <c r="L209" s="964"/>
      <c r="M209" s="965"/>
    </row>
    <row r="210" spans="1:13" ht="15" customHeight="1">
      <c r="A210" s="601"/>
      <c r="B210" s="558"/>
      <c r="C210" s="558" t="s">
        <v>529</v>
      </c>
      <c r="D210" s="953" t="s">
        <v>530</v>
      </c>
      <c r="E210" s="953"/>
      <c r="F210" s="953"/>
      <c r="G210" s="953"/>
      <c r="H210" s="953"/>
      <c r="I210" s="953"/>
      <c r="J210" s="953"/>
      <c r="K210" s="953"/>
      <c r="L210" s="953"/>
      <c r="M210" s="954"/>
    </row>
    <row r="211" spans="1:13" ht="15" customHeight="1">
      <c r="A211" s="601"/>
      <c r="B211" s="558"/>
      <c r="C211" s="558"/>
      <c r="D211" s="953"/>
      <c r="E211" s="953"/>
      <c r="F211" s="953"/>
      <c r="G211" s="953"/>
      <c r="H211" s="953"/>
      <c r="I211" s="953"/>
      <c r="J211" s="953"/>
      <c r="K211" s="953"/>
      <c r="L211" s="953"/>
      <c r="M211" s="954"/>
    </row>
    <row r="212" spans="1:13" ht="15" customHeight="1">
      <c r="A212" s="601"/>
      <c r="B212" s="558"/>
      <c r="C212" s="558" t="s">
        <v>531</v>
      </c>
      <c r="D212" s="964" t="s">
        <v>532</v>
      </c>
      <c r="E212" s="964"/>
      <c r="F212" s="964"/>
      <c r="G212" s="964"/>
      <c r="H212" s="964"/>
      <c r="I212" s="964"/>
      <c r="J212" s="964"/>
      <c r="K212" s="964"/>
      <c r="L212" s="964"/>
      <c r="M212" s="965"/>
    </row>
    <row r="213" spans="1:13" ht="15" customHeight="1">
      <c r="A213" s="601"/>
      <c r="B213" s="558" t="s">
        <v>439</v>
      </c>
      <c r="C213" s="953" t="s">
        <v>533</v>
      </c>
      <c r="D213" s="953"/>
      <c r="E213" s="953"/>
      <c r="F213" s="953"/>
      <c r="G213" s="953"/>
      <c r="H213" s="953"/>
      <c r="I213" s="953"/>
      <c r="J213" s="953"/>
      <c r="K213" s="953"/>
      <c r="L213" s="953"/>
      <c r="M213" s="954"/>
    </row>
    <row r="214" spans="1:13" ht="15" customHeight="1">
      <c r="A214" s="601"/>
      <c r="B214" s="558"/>
      <c r="C214" s="953"/>
      <c r="D214" s="953"/>
      <c r="E214" s="953"/>
      <c r="F214" s="953"/>
      <c r="G214" s="953"/>
      <c r="H214" s="953"/>
      <c r="I214" s="953"/>
      <c r="J214" s="953"/>
      <c r="K214" s="953"/>
      <c r="L214" s="953"/>
      <c r="M214" s="954"/>
    </row>
    <row r="215" spans="1:13" ht="15" customHeight="1">
      <c r="A215" s="601"/>
      <c r="B215" s="558"/>
      <c r="C215" s="953"/>
      <c r="D215" s="953"/>
      <c r="E215" s="953"/>
      <c r="F215" s="953"/>
      <c r="G215" s="953"/>
      <c r="H215" s="953"/>
      <c r="I215" s="953"/>
      <c r="J215" s="953"/>
      <c r="K215" s="953"/>
      <c r="L215" s="953"/>
      <c r="M215" s="954"/>
    </row>
    <row r="216" spans="1:13" ht="15" customHeight="1">
      <c r="A216" s="601"/>
      <c r="B216" s="558" t="s">
        <v>431</v>
      </c>
      <c r="C216" s="953" t="s">
        <v>534</v>
      </c>
      <c r="D216" s="953"/>
      <c r="E216" s="953"/>
      <c r="F216" s="953"/>
      <c r="G216" s="953"/>
      <c r="H216" s="953"/>
      <c r="I216" s="953"/>
      <c r="J216" s="953"/>
      <c r="K216" s="953"/>
      <c r="L216" s="953"/>
      <c r="M216" s="954"/>
    </row>
    <row r="217" spans="1:13" ht="15" customHeight="1">
      <c r="A217" s="601"/>
      <c r="B217" s="558"/>
      <c r="C217" s="953"/>
      <c r="D217" s="953"/>
      <c r="E217" s="953"/>
      <c r="F217" s="953"/>
      <c r="G217" s="953"/>
      <c r="H217" s="953"/>
      <c r="I217" s="953"/>
      <c r="J217" s="953"/>
      <c r="K217" s="953"/>
      <c r="L217" s="953"/>
      <c r="M217" s="954"/>
    </row>
    <row r="218" spans="1:13" ht="15" customHeight="1">
      <c r="A218" s="601"/>
      <c r="B218" s="558"/>
      <c r="C218" s="953"/>
      <c r="D218" s="953"/>
      <c r="E218" s="953"/>
      <c r="F218" s="953"/>
      <c r="G218" s="953"/>
      <c r="H218" s="953"/>
      <c r="I218" s="953"/>
      <c r="J218" s="953"/>
      <c r="K218" s="953"/>
      <c r="L218" s="953"/>
      <c r="M218" s="954"/>
    </row>
    <row r="219" spans="1:13" ht="15" customHeight="1">
      <c r="A219" s="601"/>
      <c r="B219" s="558" t="s">
        <v>433</v>
      </c>
      <c r="C219" s="953" t="s">
        <v>535</v>
      </c>
      <c r="D219" s="953"/>
      <c r="E219" s="953"/>
      <c r="F219" s="953"/>
      <c r="G219" s="953"/>
      <c r="H219" s="953"/>
      <c r="I219" s="953"/>
      <c r="J219" s="953"/>
      <c r="K219" s="953"/>
      <c r="L219" s="953"/>
      <c r="M219" s="954"/>
    </row>
    <row r="220" spans="1:13" ht="15" customHeight="1">
      <c r="A220" s="601"/>
      <c r="B220" s="558"/>
      <c r="C220" s="953"/>
      <c r="D220" s="953"/>
      <c r="E220" s="953"/>
      <c r="F220" s="953"/>
      <c r="G220" s="953"/>
      <c r="H220" s="953"/>
      <c r="I220" s="953"/>
      <c r="J220" s="953"/>
      <c r="K220" s="953"/>
      <c r="L220" s="953"/>
      <c r="M220" s="954"/>
    </row>
    <row r="221" spans="1:13" ht="15" customHeight="1">
      <c r="A221" s="601"/>
      <c r="B221" s="558"/>
      <c r="C221" s="953"/>
      <c r="D221" s="953"/>
      <c r="E221" s="953"/>
      <c r="F221" s="953"/>
      <c r="G221" s="953"/>
      <c r="H221" s="953"/>
      <c r="I221" s="953"/>
      <c r="J221" s="953"/>
      <c r="K221" s="953"/>
      <c r="L221" s="953"/>
      <c r="M221" s="954"/>
    </row>
    <row r="222" spans="1:13" ht="15" customHeight="1">
      <c r="A222" s="601"/>
      <c r="B222" s="558" t="s">
        <v>496</v>
      </c>
      <c r="C222" s="953" t="s">
        <v>536</v>
      </c>
      <c r="D222" s="953"/>
      <c r="E222" s="953"/>
      <c r="F222" s="953"/>
      <c r="G222" s="953"/>
      <c r="H222" s="953"/>
      <c r="I222" s="953"/>
      <c r="J222" s="953"/>
      <c r="K222" s="953"/>
      <c r="L222" s="953"/>
      <c r="M222" s="954"/>
    </row>
    <row r="223" spans="1:13" ht="15" customHeight="1">
      <c r="A223" s="601"/>
      <c r="B223" s="558"/>
      <c r="C223" s="953"/>
      <c r="D223" s="953"/>
      <c r="E223" s="953"/>
      <c r="F223" s="953"/>
      <c r="G223" s="953"/>
      <c r="H223" s="953"/>
      <c r="I223" s="953"/>
      <c r="J223" s="953"/>
      <c r="K223" s="953"/>
      <c r="L223" s="953"/>
      <c r="M223" s="954"/>
    </row>
    <row r="224" spans="1:13" ht="15" customHeight="1">
      <c r="A224" s="601"/>
      <c r="B224" s="558"/>
      <c r="C224" s="953"/>
      <c r="D224" s="953"/>
      <c r="E224" s="953"/>
      <c r="F224" s="953"/>
      <c r="G224" s="953"/>
      <c r="H224" s="953"/>
      <c r="I224" s="953"/>
      <c r="J224" s="953"/>
      <c r="K224" s="953"/>
      <c r="L224" s="953"/>
      <c r="M224" s="954"/>
    </row>
    <row r="225" spans="1:13" ht="15" customHeight="1">
      <c r="A225" s="601"/>
      <c r="B225" s="552"/>
      <c r="C225" s="607"/>
      <c r="D225" s="607"/>
      <c r="E225" s="552"/>
      <c r="F225" s="552"/>
      <c r="G225" s="552"/>
      <c r="H225" s="552"/>
      <c r="I225" s="552"/>
      <c r="J225" s="552"/>
      <c r="K225" s="552"/>
      <c r="L225" s="552"/>
      <c r="M225" s="583"/>
    </row>
    <row r="226" spans="1:13" ht="15" customHeight="1">
      <c r="A226" s="798" t="s">
        <v>537</v>
      </c>
      <c r="B226" s="552" t="s">
        <v>538</v>
      </c>
      <c r="C226" s="607"/>
      <c r="D226" s="607"/>
      <c r="E226" s="552"/>
      <c r="F226" s="552"/>
      <c r="G226" s="552"/>
      <c r="H226" s="552"/>
      <c r="I226" s="552"/>
      <c r="J226" s="552"/>
      <c r="K226" s="552"/>
      <c r="L226" s="552"/>
      <c r="M226" s="583"/>
    </row>
    <row r="227" spans="1:13" ht="15" customHeight="1">
      <c r="A227" s="601"/>
      <c r="B227" s="558" t="s">
        <v>437</v>
      </c>
      <c r="C227" s="953" t="s">
        <v>539</v>
      </c>
      <c r="D227" s="953"/>
      <c r="E227" s="953"/>
      <c r="F227" s="953"/>
      <c r="G227" s="953"/>
      <c r="H227" s="953"/>
      <c r="I227" s="953"/>
      <c r="J227" s="953"/>
      <c r="K227" s="953"/>
      <c r="L227" s="953"/>
      <c r="M227" s="954"/>
    </row>
    <row r="228" spans="1:13" ht="15" customHeight="1">
      <c r="A228" s="601"/>
      <c r="B228" s="558"/>
      <c r="C228" s="953"/>
      <c r="D228" s="953"/>
      <c r="E228" s="953"/>
      <c r="F228" s="953"/>
      <c r="G228" s="953"/>
      <c r="H228" s="953"/>
      <c r="I228" s="953"/>
      <c r="J228" s="953"/>
      <c r="K228" s="953"/>
      <c r="L228" s="953"/>
      <c r="M228" s="954"/>
    </row>
    <row r="229" spans="1:13" ht="15" customHeight="1">
      <c r="A229" s="601"/>
      <c r="B229" s="558"/>
      <c r="C229" s="953"/>
      <c r="D229" s="953"/>
      <c r="E229" s="953"/>
      <c r="F229" s="953"/>
      <c r="G229" s="953"/>
      <c r="H229" s="953"/>
      <c r="I229" s="953"/>
      <c r="J229" s="953"/>
      <c r="K229" s="953"/>
      <c r="L229" s="953"/>
      <c r="M229" s="954"/>
    </row>
    <row r="230" spans="1:13" ht="15" customHeight="1">
      <c r="A230" s="601"/>
      <c r="B230" s="558"/>
      <c r="C230" s="953"/>
      <c r="D230" s="953"/>
      <c r="E230" s="953"/>
      <c r="F230" s="953"/>
      <c r="G230" s="953"/>
      <c r="H230" s="953"/>
      <c r="I230" s="953"/>
      <c r="J230" s="953"/>
      <c r="K230" s="953"/>
      <c r="L230" s="953"/>
      <c r="M230" s="954"/>
    </row>
    <row r="231" spans="1:13" ht="15" customHeight="1">
      <c r="A231" s="601"/>
      <c r="B231" s="558"/>
      <c r="C231" s="953"/>
      <c r="D231" s="953"/>
      <c r="E231" s="953"/>
      <c r="F231" s="953"/>
      <c r="G231" s="953"/>
      <c r="H231" s="953"/>
      <c r="I231" s="953"/>
      <c r="J231" s="953"/>
      <c r="K231" s="953"/>
      <c r="L231" s="953"/>
      <c r="M231" s="954"/>
    </row>
    <row r="232" spans="1:13" ht="15" customHeight="1">
      <c r="A232" s="601"/>
      <c r="B232" s="558" t="s">
        <v>439</v>
      </c>
      <c r="C232" s="953" t="s">
        <v>540</v>
      </c>
      <c r="D232" s="953"/>
      <c r="E232" s="953"/>
      <c r="F232" s="953"/>
      <c r="G232" s="953"/>
      <c r="H232" s="953"/>
      <c r="I232" s="953"/>
      <c r="J232" s="953"/>
      <c r="K232" s="953"/>
      <c r="L232" s="953"/>
      <c r="M232" s="954"/>
    </row>
    <row r="233" spans="1:13" ht="15" customHeight="1">
      <c r="A233" s="601"/>
      <c r="B233" s="558"/>
      <c r="C233" s="953"/>
      <c r="D233" s="953"/>
      <c r="E233" s="953"/>
      <c r="F233" s="953"/>
      <c r="G233" s="953"/>
      <c r="H233" s="953"/>
      <c r="I233" s="953"/>
      <c r="J233" s="953"/>
      <c r="K233" s="953"/>
      <c r="L233" s="953"/>
      <c r="M233" s="954"/>
    </row>
    <row r="234" spans="1:13" ht="15" customHeight="1">
      <c r="A234" s="601"/>
      <c r="B234" s="552"/>
      <c r="C234" s="607"/>
      <c r="D234" s="607"/>
      <c r="E234" s="552"/>
      <c r="F234" s="552"/>
      <c r="G234" s="552"/>
      <c r="H234" s="552"/>
      <c r="I234" s="552"/>
      <c r="J234" s="552"/>
      <c r="K234" s="552"/>
      <c r="L234" s="552"/>
      <c r="M234" s="583"/>
    </row>
    <row r="235" spans="1:13" ht="15" customHeight="1">
      <c r="A235" s="798" t="s">
        <v>541</v>
      </c>
      <c r="B235" s="552" t="s">
        <v>542</v>
      </c>
      <c r="C235" s="607"/>
      <c r="D235" s="607"/>
      <c r="E235" s="552"/>
      <c r="F235" s="552"/>
      <c r="G235" s="552"/>
      <c r="H235" s="552"/>
      <c r="I235" s="552"/>
      <c r="J235" s="552"/>
      <c r="K235" s="552"/>
      <c r="L235" s="552"/>
      <c r="M235" s="583"/>
    </row>
    <row r="236" spans="1:13" ht="15" customHeight="1">
      <c r="A236" s="601"/>
      <c r="B236" s="558" t="s">
        <v>437</v>
      </c>
      <c r="C236" s="953" t="s">
        <v>543</v>
      </c>
      <c r="D236" s="953"/>
      <c r="E236" s="953"/>
      <c r="F236" s="953"/>
      <c r="G236" s="953"/>
      <c r="H236" s="953"/>
      <c r="I236" s="953"/>
      <c r="J236" s="953"/>
      <c r="K236" s="953"/>
      <c r="L236" s="953"/>
      <c r="M236" s="954"/>
    </row>
    <row r="237" spans="1:13" ht="15" customHeight="1">
      <c r="A237" s="601"/>
      <c r="B237" s="558" t="s">
        <v>439</v>
      </c>
      <c r="C237" s="953" t="s">
        <v>544</v>
      </c>
      <c r="D237" s="953"/>
      <c r="E237" s="953"/>
      <c r="F237" s="953"/>
      <c r="G237" s="953"/>
      <c r="H237" s="953"/>
      <c r="I237" s="953"/>
      <c r="J237" s="953"/>
      <c r="K237" s="953"/>
      <c r="L237" s="953"/>
      <c r="M237" s="954"/>
    </row>
    <row r="238" spans="1:13" ht="15" customHeight="1">
      <c r="A238" s="601"/>
      <c r="B238" s="558"/>
      <c r="C238" s="953"/>
      <c r="D238" s="953"/>
      <c r="E238" s="953"/>
      <c r="F238" s="953"/>
      <c r="G238" s="953"/>
      <c r="H238" s="953"/>
      <c r="I238" s="953"/>
      <c r="J238" s="953"/>
      <c r="K238" s="953"/>
      <c r="L238" s="953"/>
      <c r="M238" s="954"/>
    </row>
    <row r="239" spans="1:13" ht="15" customHeight="1">
      <c r="A239" s="601"/>
      <c r="B239" s="558" t="s">
        <v>431</v>
      </c>
      <c r="C239" s="953" t="s">
        <v>545</v>
      </c>
      <c r="D239" s="953"/>
      <c r="E239" s="953"/>
      <c r="F239" s="953"/>
      <c r="G239" s="953"/>
      <c r="H239" s="953"/>
      <c r="I239" s="953"/>
      <c r="J239" s="953"/>
      <c r="K239" s="953"/>
      <c r="L239" s="953"/>
      <c r="M239" s="954"/>
    </row>
    <row r="240" spans="1:13" ht="15" customHeight="1">
      <c r="A240" s="601"/>
      <c r="B240" s="558" t="s">
        <v>433</v>
      </c>
      <c r="C240" s="953" t="s">
        <v>546</v>
      </c>
      <c r="D240" s="953"/>
      <c r="E240" s="953"/>
      <c r="F240" s="953"/>
      <c r="G240" s="953"/>
      <c r="H240" s="953"/>
      <c r="I240" s="953"/>
      <c r="J240" s="953"/>
      <c r="K240" s="953"/>
      <c r="L240" s="953"/>
      <c r="M240" s="954"/>
    </row>
    <row r="241" spans="1:13" ht="15" customHeight="1">
      <c r="A241" s="601"/>
      <c r="B241" s="558"/>
      <c r="C241" s="953"/>
      <c r="D241" s="953"/>
      <c r="E241" s="953"/>
      <c r="F241" s="953"/>
      <c r="G241" s="953"/>
      <c r="H241" s="953"/>
      <c r="I241" s="953"/>
      <c r="J241" s="953"/>
      <c r="K241" s="953"/>
      <c r="L241" s="953"/>
      <c r="M241" s="954"/>
    </row>
    <row r="242" spans="1:13" ht="15" customHeight="1">
      <c r="A242" s="601"/>
      <c r="B242" s="558"/>
      <c r="C242" s="558" t="s">
        <v>459</v>
      </c>
      <c r="D242" s="953" t="s">
        <v>547</v>
      </c>
      <c r="E242" s="953"/>
      <c r="F242" s="953"/>
      <c r="G242" s="953"/>
      <c r="H242" s="953"/>
      <c r="I242" s="953"/>
      <c r="J242" s="953"/>
      <c r="K242" s="953"/>
      <c r="L242" s="953"/>
      <c r="M242" s="954"/>
    </row>
    <row r="243" spans="1:13" ht="15" customHeight="1">
      <c r="A243" s="601"/>
      <c r="B243" s="558"/>
      <c r="C243" s="558"/>
      <c r="D243" s="953"/>
      <c r="E243" s="953"/>
      <c r="F243" s="953"/>
      <c r="G243" s="953"/>
      <c r="H243" s="953"/>
      <c r="I243" s="953"/>
      <c r="J243" s="953"/>
      <c r="K243" s="953"/>
      <c r="L243" s="953"/>
      <c r="M243" s="954"/>
    </row>
    <row r="244" spans="1:13" ht="15" customHeight="1">
      <c r="A244" s="601"/>
      <c r="B244" s="558"/>
      <c r="C244" s="558" t="s">
        <v>461</v>
      </c>
      <c r="D244" s="953" t="s">
        <v>548</v>
      </c>
      <c r="E244" s="953"/>
      <c r="F244" s="953"/>
      <c r="G244" s="953"/>
      <c r="H244" s="953"/>
      <c r="I244" s="953"/>
      <c r="J244" s="953"/>
      <c r="K244" s="953"/>
      <c r="L244" s="953"/>
      <c r="M244" s="954"/>
    </row>
    <row r="245" spans="1:13" ht="15" customHeight="1">
      <c r="A245" s="601"/>
      <c r="B245" s="558"/>
      <c r="C245" s="558"/>
      <c r="D245" s="953"/>
      <c r="E245" s="953"/>
      <c r="F245" s="953"/>
      <c r="G245" s="953"/>
      <c r="H245" s="953"/>
      <c r="I245" s="953"/>
      <c r="J245" s="953"/>
      <c r="K245" s="953"/>
      <c r="L245" s="953"/>
      <c r="M245" s="954"/>
    </row>
    <row r="246" spans="1:13" ht="15" customHeight="1">
      <c r="A246" s="601"/>
      <c r="B246" s="558"/>
      <c r="C246" s="558" t="s">
        <v>469</v>
      </c>
      <c r="D246" s="964" t="s">
        <v>549</v>
      </c>
      <c r="E246" s="964"/>
      <c r="F246" s="964"/>
      <c r="G246" s="964"/>
      <c r="H246" s="964"/>
      <c r="I246" s="964"/>
      <c r="J246" s="964"/>
      <c r="K246" s="964"/>
      <c r="L246" s="964"/>
      <c r="M246" s="965"/>
    </row>
    <row r="247" spans="1:13" ht="15" customHeight="1">
      <c r="A247" s="601"/>
      <c r="B247" s="558"/>
      <c r="C247" s="558"/>
      <c r="D247" s="964"/>
      <c r="E247" s="964"/>
      <c r="F247" s="964"/>
      <c r="G247" s="964"/>
      <c r="H247" s="964"/>
      <c r="I247" s="964"/>
      <c r="J247" s="964"/>
      <c r="K247" s="964"/>
      <c r="L247" s="964"/>
      <c r="M247" s="965"/>
    </row>
    <row r="248" spans="1:13" ht="15" customHeight="1">
      <c r="A248" s="608"/>
      <c r="B248" s="560"/>
      <c r="C248" s="560" t="s">
        <v>515</v>
      </c>
      <c r="D248" s="966" t="s">
        <v>550</v>
      </c>
      <c r="E248" s="966"/>
      <c r="F248" s="966"/>
      <c r="G248" s="966"/>
      <c r="H248" s="966"/>
      <c r="I248" s="966"/>
      <c r="J248" s="966"/>
      <c r="K248" s="966"/>
      <c r="L248" s="966"/>
      <c r="M248" s="967"/>
    </row>
    <row r="249" spans="1:13" ht="15" customHeight="1">
      <c r="A249" s="600"/>
      <c r="B249" s="570"/>
      <c r="C249" s="570" t="s">
        <v>525</v>
      </c>
      <c r="D249" s="968" t="s">
        <v>551</v>
      </c>
      <c r="E249" s="968"/>
      <c r="F249" s="968"/>
      <c r="G249" s="968"/>
      <c r="H249" s="968"/>
      <c r="I249" s="968"/>
      <c r="J249" s="968"/>
      <c r="K249" s="968"/>
      <c r="L249" s="968"/>
      <c r="M249" s="969"/>
    </row>
    <row r="250" spans="1:13" ht="15" customHeight="1">
      <c r="A250" s="601"/>
      <c r="B250" s="558"/>
      <c r="C250" s="558"/>
      <c r="D250" s="953"/>
      <c r="E250" s="953"/>
      <c r="F250" s="953"/>
      <c r="G250" s="953"/>
      <c r="H250" s="953"/>
      <c r="I250" s="953"/>
      <c r="J250" s="953"/>
      <c r="K250" s="953"/>
      <c r="L250" s="953"/>
      <c r="M250" s="954"/>
    </row>
    <row r="251" spans="1:13" ht="15" customHeight="1">
      <c r="A251" s="601"/>
      <c r="B251" s="558"/>
      <c r="C251" s="558" t="s">
        <v>527</v>
      </c>
      <c r="D251" s="964" t="s">
        <v>552</v>
      </c>
      <c r="E251" s="964"/>
      <c r="F251" s="964"/>
      <c r="G251" s="964"/>
      <c r="H251" s="964"/>
      <c r="I251" s="964"/>
      <c r="J251" s="964"/>
      <c r="K251" s="964"/>
      <c r="L251" s="964"/>
      <c r="M251" s="965"/>
    </row>
    <row r="252" spans="1:13" ht="15" customHeight="1">
      <c r="A252" s="601"/>
      <c r="B252" s="558"/>
      <c r="C252" s="558" t="s">
        <v>529</v>
      </c>
      <c r="D252" s="953" t="s">
        <v>553</v>
      </c>
      <c r="E252" s="953"/>
      <c r="F252" s="953"/>
      <c r="G252" s="953"/>
      <c r="H252" s="953"/>
      <c r="I252" s="953"/>
      <c r="J252" s="953"/>
      <c r="K252" s="953"/>
      <c r="L252" s="953"/>
      <c r="M252" s="954"/>
    </row>
    <row r="253" spans="1:13" ht="15" customHeight="1">
      <c r="A253" s="601"/>
      <c r="B253" s="558"/>
      <c r="C253" s="558" t="s">
        <v>531</v>
      </c>
      <c r="D253" s="953" t="s">
        <v>554</v>
      </c>
      <c r="E253" s="953"/>
      <c r="F253" s="953"/>
      <c r="G253" s="953"/>
      <c r="H253" s="953"/>
      <c r="I253" s="953"/>
      <c r="J253" s="953"/>
      <c r="K253" s="953"/>
      <c r="L253" s="953"/>
      <c r="M253" s="954"/>
    </row>
    <row r="254" spans="1:13" ht="15" customHeight="1">
      <c r="A254" s="601"/>
      <c r="B254" s="558"/>
      <c r="C254" s="558"/>
      <c r="D254" s="953"/>
      <c r="E254" s="953"/>
      <c r="F254" s="953"/>
      <c r="G254" s="953"/>
      <c r="H254" s="953"/>
      <c r="I254" s="953"/>
      <c r="J254" s="953"/>
      <c r="K254" s="953"/>
      <c r="L254" s="953"/>
      <c r="M254" s="954"/>
    </row>
    <row r="255" spans="1:13" ht="15" customHeight="1">
      <c r="A255" s="601"/>
      <c r="B255" s="558"/>
      <c r="C255" s="558" t="s">
        <v>555</v>
      </c>
      <c r="D255" s="964" t="s">
        <v>556</v>
      </c>
      <c r="E255" s="964"/>
      <c r="F255" s="964"/>
      <c r="G255" s="964"/>
      <c r="H255" s="964"/>
      <c r="I255" s="964"/>
      <c r="J255" s="964"/>
      <c r="K255" s="964"/>
      <c r="L255" s="964"/>
      <c r="M255" s="965"/>
    </row>
    <row r="256" spans="1:13" ht="15" customHeight="1">
      <c r="A256" s="601"/>
      <c r="B256" s="558"/>
      <c r="C256" s="558"/>
      <c r="D256" s="964"/>
      <c r="E256" s="964"/>
      <c r="F256" s="964"/>
      <c r="G256" s="964"/>
      <c r="H256" s="964"/>
      <c r="I256" s="964"/>
      <c r="J256" s="964"/>
      <c r="K256" s="964"/>
      <c r="L256" s="964"/>
      <c r="M256" s="965"/>
    </row>
    <row r="257" spans="1:15" ht="15" customHeight="1">
      <c r="A257" s="601"/>
      <c r="B257" s="558"/>
      <c r="C257" s="558" t="s">
        <v>557</v>
      </c>
      <c r="D257" s="953" t="s">
        <v>558</v>
      </c>
      <c r="E257" s="953"/>
      <c r="F257" s="953"/>
      <c r="G257" s="953"/>
      <c r="H257" s="953"/>
      <c r="I257" s="953"/>
      <c r="J257" s="953"/>
      <c r="K257" s="953"/>
      <c r="L257" s="953"/>
      <c r="M257" s="954"/>
    </row>
    <row r="258" spans="1:15" ht="15" customHeight="1">
      <c r="A258" s="601"/>
      <c r="B258" s="558"/>
      <c r="C258" s="558"/>
      <c r="D258" s="953"/>
      <c r="E258" s="953"/>
      <c r="F258" s="953"/>
      <c r="G258" s="953"/>
      <c r="H258" s="953"/>
      <c r="I258" s="953"/>
      <c r="J258" s="953"/>
      <c r="K258" s="953"/>
      <c r="L258" s="953"/>
      <c r="M258" s="954"/>
    </row>
    <row r="259" spans="1:15" ht="15" customHeight="1">
      <c r="A259" s="601"/>
      <c r="B259" s="558" t="s">
        <v>496</v>
      </c>
      <c r="C259" s="953" t="s">
        <v>559</v>
      </c>
      <c r="D259" s="953"/>
      <c r="E259" s="953"/>
      <c r="F259" s="953"/>
      <c r="G259" s="953"/>
      <c r="H259" s="953"/>
      <c r="I259" s="953"/>
      <c r="J259" s="953"/>
      <c r="K259" s="953"/>
      <c r="L259" s="953"/>
      <c r="M259" s="954"/>
    </row>
    <row r="260" spans="1:15" ht="15" customHeight="1">
      <c r="A260" s="601"/>
      <c r="B260" s="558"/>
      <c r="C260" s="558" t="s">
        <v>459</v>
      </c>
      <c r="D260" s="953" t="s">
        <v>560</v>
      </c>
      <c r="E260" s="953"/>
      <c r="F260" s="953"/>
      <c r="G260" s="953"/>
      <c r="H260" s="953"/>
      <c r="I260" s="953"/>
      <c r="J260" s="953"/>
      <c r="K260" s="953"/>
      <c r="L260" s="953"/>
      <c r="M260" s="954"/>
    </row>
    <row r="261" spans="1:15" ht="15" customHeight="1">
      <c r="A261" s="601"/>
      <c r="B261" s="558"/>
      <c r="C261" s="558"/>
      <c r="D261" s="953"/>
      <c r="E261" s="953"/>
      <c r="F261" s="953"/>
      <c r="G261" s="953"/>
      <c r="H261" s="953"/>
      <c r="I261" s="953"/>
      <c r="J261" s="953"/>
      <c r="K261" s="953"/>
      <c r="L261" s="953"/>
      <c r="M261" s="954"/>
    </row>
    <row r="262" spans="1:15" ht="15" customHeight="1">
      <c r="A262" s="601"/>
      <c r="B262" s="558"/>
      <c r="C262" s="558" t="s">
        <v>461</v>
      </c>
      <c r="D262" s="953" t="s">
        <v>561</v>
      </c>
      <c r="E262" s="953"/>
      <c r="F262" s="953"/>
      <c r="G262" s="953"/>
      <c r="H262" s="953"/>
      <c r="I262" s="953"/>
      <c r="J262" s="953"/>
      <c r="K262" s="953"/>
      <c r="L262" s="953"/>
      <c r="M262" s="954"/>
    </row>
    <row r="263" spans="1:15" ht="15" customHeight="1">
      <c r="A263" s="601"/>
      <c r="B263" s="558"/>
      <c r="C263" s="558" t="s">
        <v>469</v>
      </c>
      <c r="D263" s="964" t="s">
        <v>562</v>
      </c>
      <c r="E263" s="964"/>
      <c r="F263" s="964"/>
      <c r="G263" s="964"/>
      <c r="H263" s="964"/>
      <c r="I263" s="964"/>
      <c r="J263" s="964"/>
      <c r="K263" s="964"/>
      <c r="L263" s="964"/>
      <c r="M263" s="965"/>
    </row>
    <row r="264" spans="1:15" ht="15" customHeight="1">
      <c r="A264" s="601"/>
      <c r="B264" s="558" t="s">
        <v>498</v>
      </c>
      <c r="C264" s="953" t="s">
        <v>563</v>
      </c>
      <c r="D264" s="953"/>
      <c r="E264" s="953"/>
      <c r="F264" s="953"/>
      <c r="G264" s="953"/>
      <c r="H264" s="953"/>
      <c r="I264" s="953"/>
      <c r="J264" s="953"/>
      <c r="K264" s="953"/>
      <c r="L264" s="953"/>
      <c r="M264" s="954"/>
    </row>
    <row r="265" spans="1:15" ht="15" customHeight="1">
      <c r="A265" s="601"/>
      <c r="B265" s="558"/>
      <c r="C265" s="953"/>
      <c r="D265" s="953"/>
      <c r="E265" s="953"/>
      <c r="F265" s="953"/>
      <c r="G265" s="953"/>
      <c r="H265" s="953"/>
      <c r="I265" s="953"/>
      <c r="J265" s="953"/>
      <c r="K265" s="953"/>
      <c r="L265" s="953"/>
      <c r="M265" s="954"/>
    </row>
    <row r="266" spans="1:15" ht="15" customHeight="1">
      <c r="A266" s="601"/>
      <c r="B266" s="558"/>
      <c r="C266" s="953"/>
      <c r="D266" s="953"/>
      <c r="E266" s="953"/>
      <c r="F266" s="953"/>
      <c r="G266" s="953"/>
      <c r="H266" s="953"/>
      <c r="I266" s="953"/>
      <c r="J266" s="953"/>
      <c r="K266" s="953"/>
      <c r="L266" s="953"/>
      <c r="M266" s="954"/>
    </row>
    <row r="267" spans="1:15" ht="15" customHeight="1">
      <c r="A267" s="601"/>
      <c r="B267" s="552"/>
      <c r="C267" s="607"/>
      <c r="D267" s="607"/>
      <c r="E267" s="552"/>
      <c r="F267" s="552"/>
      <c r="G267" s="552"/>
      <c r="H267" s="552"/>
      <c r="I267" s="552"/>
      <c r="J267" s="552"/>
      <c r="K267" s="552"/>
      <c r="L267" s="552"/>
      <c r="M267" s="583"/>
    </row>
    <row r="268" spans="1:15" ht="15" customHeight="1">
      <c r="A268" s="798" t="s">
        <v>564</v>
      </c>
      <c r="B268" s="552" t="s">
        <v>565</v>
      </c>
      <c r="C268" s="607"/>
      <c r="D268" s="607"/>
      <c r="E268" s="552"/>
      <c r="F268" s="552"/>
      <c r="G268" s="552"/>
      <c r="H268" s="552"/>
      <c r="I268" s="552"/>
      <c r="J268" s="552"/>
      <c r="K268" s="552"/>
      <c r="L268" s="552"/>
      <c r="M268" s="583"/>
    </row>
    <row r="269" spans="1:15" ht="15" customHeight="1">
      <c r="A269" s="601"/>
      <c r="B269" s="558" t="s">
        <v>437</v>
      </c>
      <c r="C269" s="953" t="s">
        <v>566</v>
      </c>
      <c r="D269" s="953"/>
      <c r="E269" s="953"/>
      <c r="F269" s="953"/>
      <c r="G269" s="953"/>
      <c r="H269" s="953"/>
      <c r="I269" s="953"/>
      <c r="J269" s="953"/>
      <c r="K269" s="953"/>
      <c r="L269" s="953"/>
      <c r="M269" s="954"/>
    </row>
    <row r="270" spans="1:15" ht="15" customHeight="1">
      <c r="A270" s="601"/>
      <c r="B270" s="558"/>
      <c r="C270" s="558" t="s">
        <v>459</v>
      </c>
      <c r="D270" s="953" t="s">
        <v>567</v>
      </c>
      <c r="E270" s="953"/>
      <c r="F270" s="953"/>
      <c r="G270" s="953"/>
      <c r="H270" s="953"/>
      <c r="I270" s="953"/>
      <c r="J270" s="953"/>
      <c r="K270" s="953"/>
      <c r="L270" s="953"/>
      <c r="M270" s="954"/>
    </row>
    <row r="271" spans="1:15" ht="15" customHeight="1">
      <c r="A271" s="601"/>
      <c r="B271" s="558"/>
      <c r="C271" s="558" t="s">
        <v>461</v>
      </c>
      <c r="D271" s="953" t="str">
        <f>"pembayaran dilakukan dengan cara "&amp;LOWER(Input!$D$137)&amp;";"</f>
        <v>pembayaran dilakukan dengan cara sekaligus;</v>
      </c>
      <c r="E271" s="953"/>
      <c r="F271" s="953"/>
      <c r="G271" s="953"/>
      <c r="H271" s="953"/>
      <c r="I271" s="953"/>
      <c r="J271" s="953"/>
      <c r="K271" s="953"/>
      <c r="L271" s="953"/>
      <c r="M271" s="954"/>
      <c r="O271" s="586" t="s">
        <v>568</v>
      </c>
    </row>
    <row r="272" spans="1:15" ht="15" customHeight="1">
      <c r="A272" s="601"/>
      <c r="B272" s="558"/>
      <c r="C272" s="558" t="s">
        <v>469</v>
      </c>
      <c r="D272" s="964" t="s">
        <v>569</v>
      </c>
      <c r="E272" s="964"/>
      <c r="F272" s="964"/>
      <c r="G272" s="964"/>
      <c r="H272" s="964"/>
      <c r="I272" s="964"/>
      <c r="J272" s="964"/>
      <c r="K272" s="964"/>
      <c r="L272" s="964"/>
      <c r="M272" s="965"/>
    </row>
    <row r="273" spans="1:13" ht="15" customHeight="1">
      <c r="A273" s="601"/>
      <c r="B273" s="558" t="s">
        <v>439</v>
      </c>
      <c r="C273" s="953" t="s">
        <v>570</v>
      </c>
      <c r="D273" s="953"/>
      <c r="E273" s="953"/>
      <c r="F273" s="953"/>
      <c r="G273" s="953"/>
      <c r="H273" s="953"/>
      <c r="I273" s="953"/>
      <c r="J273" s="953"/>
      <c r="K273" s="953"/>
      <c r="L273" s="953"/>
      <c r="M273" s="954"/>
    </row>
    <row r="274" spans="1:13" ht="15" customHeight="1">
      <c r="A274" s="601"/>
      <c r="B274" s="558"/>
      <c r="C274" s="953"/>
      <c r="D274" s="953"/>
      <c r="E274" s="953"/>
      <c r="F274" s="953"/>
      <c r="G274" s="953"/>
      <c r="H274" s="953"/>
      <c r="I274" s="953"/>
      <c r="J274" s="953"/>
      <c r="K274" s="953"/>
      <c r="L274" s="953"/>
      <c r="M274" s="954"/>
    </row>
    <row r="275" spans="1:13" ht="15" customHeight="1">
      <c r="A275" s="601"/>
      <c r="B275" s="558" t="s">
        <v>431</v>
      </c>
      <c r="C275" s="953" t="s">
        <v>571</v>
      </c>
      <c r="D275" s="953"/>
      <c r="E275" s="953"/>
      <c r="F275" s="953"/>
      <c r="G275" s="953"/>
      <c r="H275" s="953"/>
      <c r="I275" s="953"/>
      <c r="J275" s="953"/>
      <c r="K275" s="953"/>
      <c r="L275" s="953"/>
      <c r="M275" s="954"/>
    </row>
    <row r="276" spans="1:13" ht="15" customHeight="1">
      <c r="A276" s="601"/>
      <c r="B276" s="558"/>
      <c r="C276" s="953"/>
      <c r="D276" s="953"/>
      <c r="E276" s="953"/>
      <c r="F276" s="953"/>
      <c r="G276" s="953"/>
      <c r="H276" s="953"/>
      <c r="I276" s="953"/>
      <c r="J276" s="953"/>
      <c r="K276" s="953"/>
      <c r="L276" s="953"/>
      <c r="M276" s="954"/>
    </row>
    <row r="277" spans="1:13" ht="15" customHeight="1">
      <c r="A277" s="601"/>
      <c r="B277" s="558"/>
      <c r="C277" s="953"/>
      <c r="D277" s="953"/>
      <c r="E277" s="953"/>
      <c r="F277" s="953"/>
      <c r="G277" s="953"/>
      <c r="H277" s="953"/>
      <c r="I277" s="953"/>
      <c r="J277" s="953"/>
      <c r="K277" s="953"/>
      <c r="L277" s="953"/>
      <c r="M277" s="954"/>
    </row>
    <row r="278" spans="1:13" ht="15" customHeight="1">
      <c r="A278" s="601"/>
      <c r="B278" s="558" t="s">
        <v>433</v>
      </c>
      <c r="C278" s="953" t="s">
        <v>572</v>
      </c>
      <c r="D278" s="953"/>
      <c r="E278" s="953"/>
      <c r="F278" s="953"/>
      <c r="G278" s="953"/>
      <c r="H278" s="953"/>
      <c r="I278" s="953"/>
      <c r="J278" s="953"/>
      <c r="K278" s="953"/>
      <c r="L278" s="953"/>
      <c r="M278" s="954"/>
    </row>
    <row r="279" spans="1:13" ht="15" customHeight="1">
      <c r="A279" s="601"/>
      <c r="B279" s="558"/>
      <c r="C279" s="953"/>
      <c r="D279" s="953"/>
      <c r="E279" s="953"/>
      <c r="F279" s="953"/>
      <c r="G279" s="953"/>
      <c r="H279" s="953"/>
      <c r="I279" s="953"/>
      <c r="J279" s="953"/>
      <c r="K279" s="953"/>
      <c r="L279" s="953"/>
      <c r="M279" s="954"/>
    </row>
    <row r="280" spans="1:13" ht="15" customHeight="1">
      <c r="A280" s="601"/>
      <c r="B280" s="558"/>
      <c r="C280" s="953"/>
      <c r="D280" s="953"/>
      <c r="E280" s="953"/>
      <c r="F280" s="953"/>
      <c r="G280" s="953"/>
      <c r="H280" s="953"/>
      <c r="I280" s="953"/>
      <c r="J280" s="953"/>
      <c r="K280" s="953"/>
      <c r="L280" s="953"/>
      <c r="M280" s="954"/>
    </row>
    <row r="281" spans="1:13" ht="15" customHeight="1">
      <c r="A281" s="601"/>
      <c r="B281" s="552"/>
      <c r="C281" s="607"/>
      <c r="D281" s="607"/>
      <c r="E281" s="552"/>
      <c r="F281" s="552"/>
      <c r="G281" s="552"/>
      <c r="H281" s="552"/>
      <c r="I281" s="552"/>
      <c r="J281" s="552"/>
      <c r="K281" s="552"/>
      <c r="L281" s="552"/>
      <c r="M281" s="583"/>
    </row>
    <row r="282" spans="1:13" ht="15" customHeight="1">
      <c r="A282" s="798" t="s">
        <v>573</v>
      </c>
      <c r="B282" s="552" t="s">
        <v>574</v>
      </c>
      <c r="C282" s="607"/>
      <c r="D282" s="607"/>
      <c r="E282" s="552"/>
      <c r="F282" s="552"/>
      <c r="G282" s="552"/>
      <c r="H282" s="552"/>
      <c r="I282" s="552"/>
      <c r="J282" s="552"/>
      <c r="K282" s="552"/>
      <c r="L282" s="552"/>
      <c r="M282" s="583"/>
    </row>
    <row r="283" spans="1:13" ht="15" customHeight="1">
      <c r="A283" s="601"/>
      <c r="B283" s="558" t="s">
        <v>437</v>
      </c>
      <c r="C283" s="953" t="s">
        <v>575</v>
      </c>
      <c r="D283" s="953"/>
      <c r="E283" s="953"/>
      <c r="F283" s="953"/>
      <c r="G283" s="953"/>
      <c r="H283" s="953"/>
      <c r="I283" s="953"/>
      <c r="J283" s="953"/>
      <c r="K283" s="953"/>
      <c r="L283" s="953"/>
      <c r="M283" s="954"/>
    </row>
    <row r="284" spans="1:13" ht="15" customHeight="1">
      <c r="A284" s="601"/>
      <c r="B284" s="558"/>
      <c r="C284" s="953"/>
      <c r="D284" s="953"/>
      <c r="E284" s="953"/>
      <c r="F284" s="953"/>
      <c r="G284" s="953"/>
      <c r="H284" s="953"/>
      <c r="I284" s="953"/>
      <c r="J284" s="953"/>
      <c r="K284" s="953"/>
      <c r="L284" s="953"/>
      <c r="M284" s="954"/>
    </row>
    <row r="285" spans="1:13" ht="15" customHeight="1">
      <c r="A285" s="601"/>
      <c r="B285" s="558"/>
      <c r="C285" s="953"/>
      <c r="D285" s="953"/>
      <c r="E285" s="953"/>
      <c r="F285" s="953"/>
      <c r="G285" s="953"/>
      <c r="H285" s="953"/>
      <c r="I285" s="953"/>
      <c r="J285" s="953"/>
      <c r="K285" s="953"/>
      <c r="L285" s="953"/>
      <c r="M285" s="954"/>
    </row>
    <row r="286" spans="1:13" ht="15" customHeight="1">
      <c r="A286" s="601"/>
      <c r="B286" s="558" t="s">
        <v>439</v>
      </c>
      <c r="C286" s="953" t="s">
        <v>576</v>
      </c>
      <c r="D286" s="953"/>
      <c r="E286" s="953"/>
      <c r="F286" s="953"/>
      <c r="G286" s="953"/>
      <c r="H286" s="953"/>
      <c r="I286" s="953"/>
      <c r="J286" s="953"/>
      <c r="K286" s="953"/>
      <c r="L286" s="953"/>
      <c r="M286" s="954"/>
    </row>
    <row r="287" spans="1:13" ht="15" customHeight="1">
      <c r="A287" s="601"/>
      <c r="B287" s="558"/>
      <c r="C287" s="953"/>
      <c r="D287" s="953"/>
      <c r="E287" s="953"/>
      <c r="F287" s="953"/>
      <c r="G287" s="953"/>
      <c r="H287" s="953"/>
      <c r="I287" s="953"/>
      <c r="J287" s="953"/>
      <c r="K287" s="953"/>
      <c r="L287" s="953"/>
      <c r="M287" s="954"/>
    </row>
    <row r="288" spans="1:13" ht="15" customHeight="1">
      <c r="A288" s="601"/>
      <c r="B288" s="552"/>
      <c r="C288" s="607"/>
      <c r="D288" s="607"/>
      <c r="E288" s="552"/>
      <c r="F288" s="552"/>
      <c r="G288" s="552"/>
      <c r="H288" s="552"/>
      <c r="I288" s="552"/>
      <c r="J288" s="552"/>
      <c r="K288" s="552"/>
      <c r="L288" s="552"/>
      <c r="M288" s="583"/>
    </row>
    <row r="289" spans="1:13" ht="15" customHeight="1">
      <c r="A289" s="798" t="s">
        <v>577</v>
      </c>
      <c r="B289" s="552" t="s">
        <v>578</v>
      </c>
      <c r="C289" s="607"/>
      <c r="D289" s="607"/>
      <c r="E289" s="552"/>
      <c r="F289" s="552"/>
      <c r="G289" s="552"/>
      <c r="H289" s="552"/>
      <c r="I289" s="552"/>
      <c r="J289" s="552"/>
      <c r="K289" s="552"/>
      <c r="L289" s="552"/>
      <c r="M289" s="583"/>
    </row>
    <row r="290" spans="1:13" ht="15" customHeight="1">
      <c r="A290" s="601"/>
      <c r="B290" s="953" t="s">
        <v>579</v>
      </c>
      <c r="C290" s="953"/>
      <c r="D290" s="953"/>
      <c r="E290" s="953"/>
      <c r="F290" s="953"/>
      <c r="G290" s="953"/>
      <c r="H290" s="953"/>
      <c r="I290" s="953"/>
      <c r="J290" s="953"/>
      <c r="K290" s="953"/>
      <c r="L290" s="953"/>
      <c r="M290" s="954"/>
    </row>
    <row r="291" spans="1:13" ht="15" customHeight="1">
      <c r="A291" s="601"/>
      <c r="B291" s="953"/>
      <c r="C291" s="953"/>
      <c r="D291" s="953"/>
      <c r="E291" s="953"/>
      <c r="F291" s="953"/>
      <c r="G291" s="953"/>
      <c r="H291" s="953"/>
      <c r="I291" s="953"/>
      <c r="J291" s="953"/>
      <c r="K291" s="953"/>
      <c r="L291" s="953"/>
      <c r="M291" s="954"/>
    </row>
    <row r="292" spans="1:13" ht="15" customHeight="1">
      <c r="A292" s="601"/>
      <c r="B292" s="953"/>
      <c r="C292" s="953"/>
      <c r="D292" s="953"/>
      <c r="E292" s="953"/>
      <c r="F292" s="953"/>
      <c r="G292" s="953"/>
      <c r="H292" s="953"/>
      <c r="I292" s="953"/>
      <c r="J292" s="953"/>
      <c r="K292" s="953"/>
      <c r="L292" s="953"/>
      <c r="M292" s="954"/>
    </row>
    <row r="293" spans="1:13" ht="15" customHeight="1">
      <c r="A293" s="601"/>
      <c r="B293" s="953"/>
      <c r="C293" s="953"/>
      <c r="D293" s="953"/>
      <c r="E293" s="953"/>
      <c r="F293" s="953"/>
      <c r="G293" s="953"/>
      <c r="H293" s="953"/>
      <c r="I293" s="953"/>
      <c r="J293" s="953"/>
      <c r="K293" s="953"/>
      <c r="L293" s="953"/>
      <c r="M293" s="954"/>
    </row>
    <row r="294" spans="1:13" ht="15" customHeight="1">
      <c r="A294" s="601"/>
      <c r="B294" s="552"/>
      <c r="C294" s="607"/>
      <c r="D294" s="607"/>
      <c r="E294" s="552"/>
      <c r="F294" s="552"/>
      <c r="G294" s="552"/>
      <c r="H294" s="552"/>
      <c r="I294" s="552"/>
      <c r="J294" s="552"/>
      <c r="K294" s="552"/>
      <c r="L294" s="552"/>
      <c r="M294" s="583"/>
    </row>
    <row r="295" spans="1:13" ht="15" customHeight="1">
      <c r="A295" s="798" t="s">
        <v>580</v>
      </c>
      <c r="B295" s="552" t="s">
        <v>581</v>
      </c>
      <c r="C295" s="607"/>
      <c r="D295" s="607"/>
      <c r="E295" s="552"/>
      <c r="F295" s="552"/>
      <c r="G295" s="552"/>
      <c r="H295" s="552"/>
      <c r="I295" s="552"/>
      <c r="J295" s="552"/>
      <c r="K295" s="552"/>
      <c r="L295" s="552"/>
      <c r="M295" s="583"/>
    </row>
    <row r="296" spans="1:13" ht="15" customHeight="1">
      <c r="A296" s="601"/>
      <c r="B296" s="953" t="s">
        <v>582</v>
      </c>
      <c r="C296" s="953"/>
      <c r="D296" s="953"/>
      <c r="E296" s="953"/>
      <c r="F296" s="953"/>
      <c r="G296" s="953"/>
      <c r="H296" s="953"/>
      <c r="I296" s="953"/>
      <c r="J296" s="953"/>
      <c r="K296" s="953"/>
      <c r="L296" s="953"/>
      <c r="M296" s="954"/>
    </row>
    <row r="297" spans="1:13" ht="15" customHeight="1">
      <c r="A297" s="601"/>
      <c r="B297" s="953"/>
      <c r="C297" s="953"/>
      <c r="D297" s="953"/>
      <c r="E297" s="953"/>
      <c r="F297" s="953"/>
      <c r="G297" s="953"/>
      <c r="H297" s="953"/>
      <c r="I297" s="953"/>
      <c r="J297" s="953"/>
      <c r="K297" s="953"/>
      <c r="L297" s="953"/>
      <c r="M297" s="954"/>
    </row>
    <row r="298" spans="1:13" ht="15" customHeight="1">
      <c r="A298" s="601"/>
      <c r="B298" s="953"/>
      <c r="C298" s="953"/>
      <c r="D298" s="953"/>
      <c r="E298" s="953"/>
      <c r="F298" s="953"/>
      <c r="G298" s="953"/>
      <c r="H298" s="953"/>
      <c r="I298" s="953"/>
      <c r="J298" s="953"/>
      <c r="K298" s="953"/>
      <c r="L298" s="953"/>
      <c r="M298" s="954"/>
    </row>
    <row r="299" spans="1:13" ht="15" customHeight="1">
      <c r="A299" s="611"/>
      <c r="B299" s="610"/>
      <c r="C299" s="610"/>
      <c r="D299" s="610"/>
      <c r="E299" s="555"/>
      <c r="F299" s="555"/>
      <c r="G299" s="555"/>
      <c r="H299" s="555"/>
      <c r="I299" s="555"/>
      <c r="J299" s="555"/>
      <c r="K299" s="555"/>
      <c r="L299" s="555"/>
      <c r="M299" s="585"/>
    </row>
    <row r="300" spans="1:13">
      <c r="E300" s="552"/>
      <c r="F300" s="552"/>
      <c r="G300" s="552"/>
      <c r="H300" s="552"/>
      <c r="I300" s="552"/>
      <c r="J300" s="552"/>
      <c r="K300" s="552"/>
      <c r="L300" s="552"/>
      <c r="M300" s="552"/>
    </row>
    <row r="301" spans="1:13">
      <c r="E301" s="552"/>
      <c r="F301" s="552"/>
      <c r="G301" s="552"/>
      <c r="H301" s="552"/>
      <c r="I301" s="552"/>
      <c r="J301" s="552"/>
      <c r="K301" s="552"/>
      <c r="L301" s="552"/>
      <c r="M301" s="552"/>
    </row>
    <row r="302" spans="1:13">
      <c r="E302" s="552"/>
      <c r="F302" s="552"/>
      <c r="G302" s="552"/>
      <c r="H302" s="552"/>
      <c r="I302" s="552"/>
      <c r="J302" s="552"/>
      <c r="K302" s="552"/>
      <c r="L302" s="552"/>
      <c r="M302" s="552"/>
    </row>
    <row r="303" spans="1:13">
      <c r="E303" s="552"/>
      <c r="F303" s="552"/>
      <c r="G303" s="552"/>
      <c r="H303" s="552"/>
      <c r="I303" s="552"/>
      <c r="J303" s="552"/>
      <c r="K303" s="552"/>
      <c r="L303" s="552"/>
      <c r="M303" s="552"/>
    </row>
    <row r="304" spans="1:13">
      <c r="E304" s="552"/>
      <c r="F304" s="552"/>
      <c r="G304" s="552"/>
      <c r="H304" s="552"/>
      <c r="I304" s="552"/>
      <c r="J304" s="552"/>
      <c r="K304" s="552"/>
      <c r="L304" s="552"/>
      <c r="M304" s="552"/>
    </row>
    <row r="305" spans="5:13">
      <c r="E305" s="552"/>
      <c r="F305" s="552"/>
      <c r="G305" s="552"/>
      <c r="H305" s="552"/>
      <c r="I305" s="552"/>
      <c r="J305" s="552"/>
      <c r="K305" s="552"/>
      <c r="L305" s="552"/>
      <c r="M305" s="552"/>
    </row>
    <row r="306" spans="5:13">
      <c r="E306" s="552"/>
      <c r="F306" s="552"/>
      <c r="G306" s="552"/>
      <c r="H306" s="552"/>
      <c r="I306" s="552"/>
      <c r="J306" s="552"/>
      <c r="K306" s="552"/>
      <c r="L306" s="552"/>
      <c r="M306" s="552"/>
    </row>
    <row r="307" spans="5:13">
      <c r="E307" s="552"/>
      <c r="F307" s="552"/>
      <c r="G307" s="552"/>
      <c r="H307" s="552"/>
      <c r="I307" s="552"/>
      <c r="J307" s="552"/>
      <c r="K307" s="552"/>
      <c r="L307" s="552"/>
      <c r="M307" s="552"/>
    </row>
    <row r="308" spans="5:13">
      <c r="E308" s="552"/>
      <c r="F308" s="552"/>
      <c r="G308" s="552"/>
      <c r="H308" s="552"/>
      <c r="I308" s="552"/>
      <c r="J308" s="552"/>
      <c r="K308" s="552"/>
      <c r="L308" s="552"/>
      <c r="M308" s="552"/>
    </row>
    <row r="309" spans="5:13">
      <c r="E309" s="552"/>
      <c r="F309" s="552"/>
      <c r="G309" s="552"/>
      <c r="H309" s="552"/>
      <c r="I309" s="552"/>
      <c r="J309" s="552"/>
      <c r="K309" s="552"/>
      <c r="L309" s="552"/>
      <c r="M309" s="552"/>
    </row>
    <row r="310" spans="5:13">
      <c r="E310" s="552"/>
      <c r="F310" s="552"/>
      <c r="G310" s="552"/>
      <c r="H310" s="552"/>
      <c r="I310" s="552"/>
      <c r="J310" s="552"/>
      <c r="K310" s="552"/>
      <c r="L310" s="552"/>
      <c r="M310" s="552"/>
    </row>
    <row r="311" spans="5:13">
      <c r="E311" s="552"/>
      <c r="F311" s="552"/>
      <c r="G311" s="552"/>
      <c r="H311" s="552"/>
      <c r="I311" s="552"/>
      <c r="J311" s="552"/>
      <c r="K311" s="552"/>
      <c r="L311" s="552"/>
      <c r="M311" s="552"/>
    </row>
    <row r="312" spans="5:13">
      <c r="E312" s="552"/>
      <c r="F312" s="552"/>
      <c r="G312" s="552"/>
      <c r="H312" s="552"/>
      <c r="I312" s="552"/>
      <c r="J312" s="552"/>
      <c r="K312" s="552"/>
      <c r="L312" s="552"/>
      <c r="M312" s="552"/>
    </row>
    <row r="313" spans="5:13">
      <c r="E313" s="552"/>
      <c r="F313" s="552"/>
      <c r="G313" s="552"/>
      <c r="H313" s="552"/>
      <c r="I313" s="552"/>
      <c r="J313" s="552"/>
      <c r="K313" s="552"/>
      <c r="L313" s="552"/>
      <c r="M313" s="552"/>
    </row>
    <row r="314" spans="5:13">
      <c r="E314" s="552"/>
      <c r="F314" s="552"/>
      <c r="G314" s="552"/>
      <c r="H314" s="552"/>
      <c r="I314" s="552"/>
      <c r="J314" s="552"/>
      <c r="K314" s="552"/>
      <c r="L314" s="552"/>
      <c r="M314" s="552"/>
    </row>
    <row r="315" spans="5:13">
      <c r="E315" s="552"/>
      <c r="F315" s="552"/>
      <c r="G315" s="552"/>
      <c r="H315" s="552"/>
      <c r="I315" s="552"/>
      <c r="J315" s="552"/>
      <c r="K315" s="552"/>
      <c r="L315" s="552"/>
      <c r="M315" s="552"/>
    </row>
    <row r="316" spans="5:13">
      <c r="E316" s="552"/>
      <c r="F316" s="552"/>
      <c r="G316" s="552"/>
      <c r="H316" s="552"/>
      <c r="I316" s="552"/>
      <c r="J316" s="552"/>
      <c r="K316" s="552"/>
      <c r="L316" s="552"/>
      <c r="M316" s="552"/>
    </row>
    <row r="317" spans="5:13">
      <c r="E317" s="552"/>
      <c r="F317" s="552"/>
      <c r="G317" s="552"/>
      <c r="H317" s="552"/>
      <c r="I317" s="552"/>
      <c r="J317" s="552"/>
      <c r="K317" s="552"/>
      <c r="L317" s="552"/>
      <c r="M317" s="552"/>
    </row>
    <row r="318" spans="5:13">
      <c r="E318" s="552"/>
      <c r="F318" s="552"/>
      <c r="G318" s="552"/>
      <c r="H318" s="552"/>
      <c r="I318" s="552"/>
      <c r="J318" s="552"/>
      <c r="K318" s="552"/>
      <c r="L318" s="552"/>
      <c r="M318" s="552"/>
    </row>
    <row r="319" spans="5:13">
      <c r="E319" s="552"/>
      <c r="F319" s="552"/>
      <c r="G319" s="552"/>
      <c r="H319" s="552"/>
      <c r="I319" s="552"/>
      <c r="J319" s="552"/>
      <c r="K319" s="552"/>
      <c r="L319" s="552"/>
      <c r="M319" s="552"/>
    </row>
    <row r="320" spans="5:13">
      <c r="E320" s="552"/>
      <c r="F320" s="552"/>
      <c r="G320" s="552"/>
      <c r="H320" s="552"/>
      <c r="I320" s="552"/>
      <c r="J320" s="552"/>
      <c r="K320" s="552"/>
      <c r="L320" s="552"/>
      <c r="M320" s="552"/>
    </row>
    <row r="321" spans="5:13">
      <c r="E321" s="552"/>
      <c r="F321" s="552"/>
      <c r="G321" s="552"/>
      <c r="H321" s="552"/>
      <c r="I321" s="552"/>
      <c r="J321" s="552"/>
      <c r="K321" s="552"/>
      <c r="L321" s="552"/>
      <c r="M321" s="552"/>
    </row>
    <row r="322" spans="5:13">
      <c r="E322" s="552"/>
      <c r="F322" s="552"/>
      <c r="G322" s="552"/>
      <c r="H322" s="552"/>
      <c r="I322" s="552"/>
      <c r="J322" s="552"/>
      <c r="K322" s="552"/>
      <c r="L322" s="552"/>
      <c r="M322" s="552"/>
    </row>
    <row r="323" spans="5:13">
      <c r="E323" s="552"/>
      <c r="F323" s="552"/>
      <c r="G323" s="552"/>
      <c r="H323" s="552"/>
      <c r="I323" s="552"/>
      <c r="J323" s="552"/>
      <c r="K323" s="552"/>
      <c r="L323" s="552"/>
      <c r="M323" s="552"/>
    </row>
    <row r="324" spans="5:13">
      <c r="E324" s="552"/>
      <c r="F324" s="552"/>
      <c r="G324" s="552"/>
      <c r="H324" s="552"/>
      <c r="I324" s="552"/>
      <c r="J324" s="552"/>
      <c r="K324" s="552"/>
      <c r="L324" s="552"/>
      <c r="M324" s="552"/>
    </row>
    <row r="325" spans="5:13">
      <c r="E325" s="552"/>
      <c r="F325" s="552"/>
      <c r="G325" s="552"/>
      <c r="H325" s="552"/>
      <c r="I325" s="552"/>
      <c r="J325" s="552"/>
      <c r="K325" s="552"/>
      <c r="L325" s="552"/>
      <c r="M325" s="552"/>
    </row>
    <row r="326" spans="5:13">
      <c r="E326" s="552"/>
      <c r="F326" s="552"/>
      <c r="G326" s="552"/>
      <c r="H326" s="552"/>
      <c r="I326" s="552"/>
      <c r="J326" s="552"/>
      <c r="K326" s="552"/>
      <c r="L326" s="552"/>
      <c r="M326" s="552"/>
    </row>
    <row r="327" spans="5:13">
      <c r="E327" s="552"/>
      <c r="F327" s="552"/>
      <c r="G327" s="552"/>
      <c r="H327" s="552"/>
      <c r="I327" s="552"/>
      <c r="J327" s="552"/>
      <c r="K327" s="552"/>
      <c r="L327" s="552"/>
      <c r="M327" s="552"/>
    </row>
    <row r="328" spans="5:13">
      <c r="E328" s="552"/>
      <c r="F328" s="552"/>
      <c r="G328" s="552"/>
      <c r="H328" s="552"/>
      <c r="I328" s="552"/>
      <c r="J328" s="552"/>
      <c r="K328" s="552"/>
      <c r="L328" s="552"/>
      <c r="M328" s="552"/>
    </row>
    <row r="329" spans="5:13">
      <c r="E329" s="552"/>
      <c r="F329" s="552"/>
      <c r="G329" s="552"/>
      <c r="H329" s="552"/>
      <c r="I329" s="552"/>
      <c r="J329" s="552"/>
      <c r="K329" s="552"/>
      <c r="L329" s="552"/>
      <c r="M329" s="552"/>
    </row>
    <row r="330" spans="5:13">
      <c r="E330" s="552"/>
      <c r="F330" s="552"/>
      <c r="G330" s="552"/>
      <c r="H330" s="552"/>
      <c r="I330" s="552"/>
      <c r="J330" s="552"/>
      <c r="K330" s="552"/>
      <c r="L330" s="552"/>
      <c r="M330" s="552"/>
    </row>
    <row r="331" spans="5:13">
      <c r="E331" s="552"/>
      <c r="F331" s="552"/>
      <c r="G331" s="552"/>
      <c r="H331" s="552"/>
      <c r="I331" s="552"/>
      <c r="J331" s="552"/>
      <c r="K331" s="552"/>
      <c r="L331" s="552"/>
      <c r="M331" s="552"/>
    </row>
    <row r="332" spans="5:13">
      <c r="E332" s="552"/>
      <c r="F332" s="552"/>
      <c r="G332" s="552"/>
      <c r="H332" s="552"/>
      <c r="I332" s="552"/>
      <c r="J332" s="552"/>
      <c r="K332" s="552"/>
      <c r="L332" s="552"/>
      <c r="M332" s="552"/>
    </row>
    <row r="333" spans="5:13">
      <c r="E333" s="552"/>
      <c r="F333" s="552"/>
      <c r="G333" s="552"/>
      <c r="H333" s="552"/>
      <c r="I333" s="552"/>
      <c r="J333" s="552"/>
      <c r="K333" s="552"/>
      <c r="L333" s="552"/>
      <c r="M333" s="552"/>
    </row>
    <row r="334" spans="5:13">
      <c r="E334" s="552"/>
      <c r="F334" s="552"/>
      <c r="G334" s="552"/>
      <c r="H334" s="552"/>
      <c r="I334" s="552"/>
      <c r="J334" s="552"/>
      <c r="K334" s="552"/>
      <c r="L334" s="552"/>
      <c r="M334" s="552"/>
    </row>
  </sheetData>
  <mergeCells count="132">
    <mergeCell ref="C278:M280"/>
    <mergeCell ref="B290:M293"/>
    <mergeCell ref="B296:M298"/>
    <mergeCell ref="C273:M274"/>
    <mergeCell ref="C275:M277"/>
    <mergeCell ref="C264:M266"/>
    <mergeCell ref="C283:M285"/>
    <mergeCell ref="C286:M287"/>
    <mergeCell ref="D260:M261"/>
    <mergeCell ref="C269:M269"/>
    <mergeCell ref="D270:M270"/>
    <mergeCell ref="D271:M271"/>
    <mergeCell ref="D272:M272"/>
    <mergeCell ref="C168:M169"/>
    <mergeCell ref="C178:M180"/>
    <mergeCell ref="C181:M185"/>
    <mergeCell ref="C186:M187"/>
    <mergeCell ref="D242:M243"/>
    <mergeCell ref="D246:M247"/>
    <mergeCell ref="D249:M250"/>
    <mergeCell ref="C237:M238"/>
    <mergeCell ref="C240:M241"/>
    <mergeCell ref="D208:M209"/>
    <mergeCell ref="C213:M215"/>
    <mergeCell ref="C216:M218"/>
    <mergeCell ref="C219:M221"/>
    <mergeCell ref="C222:M224"/>
    <mergeCell ref="D244:M245"/>
    <mergeCell ref="D212:M212"/>
    <mergeCell ref="C236:M236"/>
    <mergeCell ref="C239:M239"/>
    <mergeCell ref="D248:M248"/>
    <mergeCell ref="C109:M115"/>
    <mergeCell ref="B134:M137"/>
    <mergeCell ref="C227:M231"/>
    <mergeCell ref="C232:M233"/>
    <mergeCell ref="C153:M154"/>
    <mergeCell ref="C172:M174"/>
    <mergeCell ref="C176:M177"/>
    <mergeCell ref="C147:M150"/>
    <mergeCell ref="C151:M152"/>
    <mergeCell ref="C159:M160"/>
    <mergeCell ref="C162:M163"/>
    <mergeCell ref="C164:M165"/>
    <mergeCell ref="C155:M156"/>
    <mergeCell ref="C140:M142"/>
    <mergeCell ref="C143:M144"/>
    <mergeCell ref="C119:M121"/>
    <mergeCell ref="C122:M123"/>
    <mergeCell ref="D206:M207"/>
    <mergeCell ref="D210:M211"/>
    <mergeCell ref="D203:M204"/>
    <mergeCell ref="C124:M126"/>
    <mergeCell ref="B129:M131"/>
    <mergeCell ref="C191:M192"/>
    <mergeCell ref="C166:M167"/>
    <mergeCell ref="C93:M94"/>
    <mergeCell ref="C96:M97"/>
    <mergeCell ref="B81:M83"/>
    <mergeCell ref="C95:M95"/>
    <mergeCell ref="A7:F11"/>
    <mergeCell ref="A12:F14"/>
    <mergeCell ref="J7:M8"/>
    <mergeCell ref="G12:M14"/>
    <mergeCell ref="A29:M30"/>
    <mergeCell ref="A20:F23"/>
    <mergeCell ref="A25:M26"/>
    <mergeCell ref="A15:F17"/>
    <mergeCell ref="A18:F19"/>
    <mergeCell ref="G15:M17"/>
    <mergeCell ref="B86:M88"/>
    <mergeCell ref="C91:M92"/>
    <mergeCell ref="A36:H36"/>
    <mergeCell ref="I36:M36"/>
    <mergeCell ref="A37:H37"/>
    <mergeCell ref="I37:M37"/>
    <mergeCell ref="A38:H38"/>
    <mergeCell ref="I38:M38"/>
    <mergeCell ref="A39:H39"/>
    <mergeCell ref="I39:M39"/>
    <mergeCell ref="D251:M251"/>
    <mergeCell ref="D252:M252"/>
    <mergeCell ref="C259:M259"/>
    <mergeCell ref="D262:M262"/>
    <mergeCell ref="D263:M263"/>
    <mergeCell ref="D253:M254"/>
    <mergeCell ref="D255:M256"/>
    <mergeCell ref="D257:M258"/>
    <mergeCell ref="D193:M193"/>
    <mergeCell ref="D194:M194"/>
    <mergeCell ref="D195:M195"/>
    <mergeCell ref="D196:M196"/>
    <mergeCell ref="C197:M197"/>
    <mergeCell ref="C200:M200"/>
    <mergeCell ref="D201:M201"/>
    <mergeCell ref="D202:M202"/>
    <mergeCell ref="D205:M205"/>
    <mergeCell ref="D105:M105"/>
    <mergeCell ref="C106:M106"/>
    <mergeCell ref="D116:M116"/>
    <mergeCell ref="D117:M117"/>
    <mergeCell ref="D118:M118"/>
    <mergeCell ref="C161:M161"/>
    <mergeCell ref="C175:M175"/>
    <mergeCell ref="C190:M190"/>
    <mergeCell ref="A41:H41"/>
    <mergeCell ref="I41:M41"/>
    <mergeCell ref="A42:H42"/>
    <mergeCell ref="I42:M42"/>
    <mergeCell ref="A45:M45"/>
    <mergeCell ref="A46:M46"/>
    <mergeCell ref="C57:M57"/>
    <mergeCell ref="C58:M58"/>
    <mergeCell ref="C61:M61"/>
    <mergeCell ref="B75:M78"/>
    <mergeCell ref="C64:M67"/>
    <mergeCell ref="C68:M72"/>
    <mergeCell ref="B50:M51"/>
    <mergeCell ref="C59:M60"/>
    <mergeCell ref="C100:M101"/>
    <mergeCell ref="D102:M104"/>
    <mergeCell ref="A40:H40"/>
    <mergeCell ref="I40:M40"/>
    <mergeCell ref="E3:M3"/>
    <mergeCell ref="E4:M4"/>
    <mergeCell ref="E5:M5"/>
    <mergeCell ref="J11:M11"/>
    <mergeCell ref="J20:M20"/>
    <mergeCell ref="A33:M33"/>
    <mergeCell ref="A34:M34"/>
    <mergeCell ref="A35:H35"/>
    <mergeCell ref="I35:M35"/>
  </mergeCells>
  <dataValidations count="1">
    <dataValidation type="list" allowBlank="1" showInputMessage="1" showErrorMessage="1" sqref="G1" xr:uid="{00000000-0002-0000-0600-000000000000}">
      <formula1>"Kosong, Isi"</formula1>
    </dataValidation>
  </dataValidations>
  <hyperlinks>
    <hyperlink ref="O7" location="Input!A72" display="balik ke input" xr:uid="{00000000-0004-0000-0600-000000000000}"/>
  </hyperlinks>
  <pageMargins left="0.78740157480314998" right="0.59055118110236204" top="0.39370078740157499" bottom="0.78740157480314998" header="0" footer="0"/>
  <pageSetup paperSize="9" orientation="portrait" r:id="rId1"/>
  <rowBreaks count="2" manualBreakCount="2">
    <brk id="43" max="12" man="1"/>
    <brk id="92" max="1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B0F0"/>
  </sheetPr>
  <dimension ref="A1:R658"/>
  <sheetViews>
    <sheetView view="pageBreakPreview" zoomScale="115" zoomScaleNormal="100" workbookViewId="0">
      <pane ySplit="1" topLeftCell="A29" activePane="bottomLeft" state="frozenSplit"/>
      <selection pane="bottomLeft" activeCell="A52" sqref="A52:M53"/>
    </sheetView>
  </sheetViews>
  <sheetFormatPr defaultColWidth="9" defaultRowHeight="14.25"/>
  <cols>
    <col min="1" max="1" width="3.6640625" style="537" customWidth="1"/>
    <col min="2" max="2" width="2.53125" style="537" customWidth="1"/>
    <col min="3" max="3" width="3" style="537" customWidth="1"/>
    <col min="4" max="4" width="5" style="537" customWidth="1"/>
    <col min="5" max="5" width="5.796875" style="537" customWidth="1"/>
    <col min="6" max="6" width="5" style="537" customWidth="1"/>
    <col min="7" max="7" width="12" style="537" customWidth="1"/>
    <col min="8" max="8" width="6" style="537" customWidth="1"/>
    <col min="9" max="9" width="1.6640625" style="537" customWidth="1"/>
    <col min="10" max="10" width="6" style="537" customWidth="1"/>
    <col min="11" max="11" width="12.796875" style="537" customWidth="1"/>
    <col min="12" max="12" width="2" style="537" customWidth="1"/>
    <col min="13" max="13" width="21.53125" style="537" customWidth="1"/>
    <col min="14" max="14" width="1.53125" style="537" customWidth="1"/>
    <col min="15" max="15" width="7.6640625" style="537" customWidth="1"/>
    <col min="16" max="16384" width="9" style="537"/>
  </cols>
  <sheetData>
    <row r="1" spans="1:18" ht="18">
      <c r="A1" s="538" t="s">
        <v>399</v>
      </c>
      <c r="B1" s="539"/>
      <c r="C1" s="539"/>
      <c r="D1" s="539"/>
      <c r="E1" s="539"/>
      <c r="F1" s="539"/>
      <c r="G1" s="540" t="s">
        <v>400</v>
      </c>
      <c r="H1" s="541" t="s">
        <v>401</v>
      </c>
    </row>
    <row r="3" spans="1:18" s="18" customFormat="1" ht="18">
      <c r="D3" s="542"/>
      <c r="E3" s="938" t="str">
        <f>UPPER(opd_pem)</f>
        <v>PEMERINTAH PROVINSI NUSA TENGGARA BARAT</v>
      </c>
      <c r="F3" s="938"/>
      <c r="G3" s="938"/>
      <c r="H3" s="938"/>
      <c r="I3" s="938"/>
      <c r="J3" s="938"/>
      <c r="K3" s="938"/>
      <c r="L3" s="938"/>
      <c r="M3" s="938"/>
    </row>
    <row r="4" spans="1:18" s="18" customFormat="1" ht="47.1" customHeight="1">
      <c r="D4" s="543"/>
      <c r="E4" s="1008" t="str">
        <f>UPPER(opd_nama)</f>
        <v>BADAN PENGELOLAAN KEUANGAN DAN ASET DAERAH</v>
      </c>
      <c r="F4" s="1008"/>
      <c r="G4" s="1008"/>
      <c r="H4" s="1008"/>
      <c r="I4" s="1008"/>
      <c r="J4" s="1008"/>
      <c r="K4" s="1008"/>
      <c r="L4" s="1008"/>
      <c r="M4" s="1008"/>
    </row>
    <row r="5" spans="1:18" s="18" customFormat="1" ht="15" customHeight="1">
      <c r="A5" s="24"/>
      <c r="B5" s="24"/>
      <c r="C5" s="24"/>
      <c r="D5" s="544"/>
      <c r="E5" s="939" t="str">
        <f>opd_almt</f>
        <v>Jalan Pejanggik Nomor 14 Telp.( 0370 ) 627689, 625345 Fax: 627677</v>
      </c>
      <c r="F5" s="939"/>
      <c r="G5" s="939"/>
      <c r="H5" s="939"/>
      <c r="I5" s="939"/>
      <c r="J5" s="939"/>
      <c r="K5" s="939"/>
      <c r="L5" s="939"/>
      <c r="M5" s="939"/>
      <c r="N5" s="568"/>
      <c r="O5" s="568"/>
      <c r="P5" s="568"/>
      <c r="Q5" s="568"/>
      <c r="R5" s="568"/>
    </row>
    <row r="6" spans="1:18" ht="5.25" customHeight="1"/>
    <row r="7" spans="1:18" ht="15" customHeight="1">
      <c r="A7" s="970" t="s">
        <v>403</v>
      </c>
      <c r="B7" s="971"/>
      <c r="C7" s="971"/>
      <c r="D7" s="971"/>
      <c r="E7" s="971"/>
      <c r="F7" s="972"/>
      <c r="G7" s="545" t="s">
        <v>404</v>
      </c>
      <c r="H7" s="546"/>
      <c r="I7" s="569" t="s">
        <v>2</v>
      </c>
      <c r="J7" s="968" t="str">
        <f>opd_nama</f>
        <v>Badan Pengelolaan Keuangan dan Aset Daerah</v>
      </c>
      <c r="K7" s="968"/>
      <c r="L7" s="968"/>
      <c r="M7" s="969"/>
      <c r="O7" s="537" t="s">
        <v>583</v>
      </c>
    </row>
    <row r="8" spans="1:18" ht="15" customHeight="1">
      <c r="A8" s="973"/>
      <c r="B8" s="974"/>
      <c r="C8" s="974"/>
      <c r="D8" s="974"/>
      <c r="E8" s="974"/>
      <c r="F8" s="975"/>
      <c r="G8" s="547"/>
      <c r="I8" s="571"/>
      <c r="J8" s="966"/>
      <c r="K8" s="966"/>
      <c r="L8" s="966"/>
      <c r="M8" s="967"/>
      <c r="O8" s="71" t="s">
        <v>253</v>
      </c>
    </row>
    <row r="9" spans="1:18" ht="15" customHeight="1">
      <c r="A9" s="973"/>
      <c r="B9" s="974"/>
      <c r="C9" s="974"/>
      <c r="D9" s="974"/>
      <c r="E9" s="974"/>
      <c r="F9" s="975"/>
      <c r="G9" s="545" t="s">
        <v>405</v>
      </c>
      <c r="H9" s="546"/>
      <c r="I9" s="569"/>
      <c r="J9" s="546"/>
      <c r="K9" s="546"/>
      <c r="L9" s="546"/>
      <c r="M9" s="573"/>
    </row>
    <row r="10" spans="1:18" ht="15" customHeight="1">
      <c r="A10" s="973"/>
      <c r="B10" s="974"/>
      <c r="C10" s="974"/>
      <c r="D10" s="974"/>
      <c r="E10" s="974"/>
      <c r="F10" s="975"/>
      <c r="G10" s="547" t="s">
        <v>406</v>
      </c>
      <c r="I10" s="571" t="s">
        <v>2</v>
      </c>
      <c r="J10" s="537" t="str">
        <f>IF($G$1="Kosong","________",Input!D91)</f>
        <v>________</v>
      </c>
      <c r="M10" s="574"/>
    </row>
    <row r="11" spans="1:18" ht="15" customHeight="1">
      <c r="A11" s="973"/>
      <c r="B11" s="974"/>
      <c r="C11" s="974"/>
      <c r="D11" s="974"/>
      <c r="E11" s="974"/>
      <c r="F11" s="975"/>
      <c r="G11" s="547" t="s">
        <v>407</v>
      </c>
      <c r="I11" s="571" t="s">
        <v>2</v>
      </c>
      <c r="J11" s="940" t="str">
        <f>IF($G$1="Kosong","________",Input!H91)</f>
        <v>________</v>
      </c>
      <c r="K11" s="940"/>
      <c r="L11" s="940"/>
      <c r="M11" s="941"/>
    </row>
    <row r="12" spans="1:18" ht="15" customHeight="1">
      <c r="A12" s="976" t="s">
        <v>584</v>
      </c>
      <c r="B12" s="977"/>
      <c r="C12" s="977"/>
      <c r="D12" s="977"/>
      <c r="E12" s="977"/>
      <c r="F12" s="978"/>
      <c r="G12" s="545" t="s">
        <v>37</v>
      </c>
      <c r="H12" s="546"/>
      <c r="I12" s="569" t="s">
        <v>2</v>
      </c>
      <c r="J12" s="546" t="str">
        <f>ppk_nama</f>
        <v>Ika Kurnia Mustika, ST, MT</v>
      </c>
      <c r="K12" s="546"/>
      <c r="L12" s="546"/>
      <c r="M12" s="573"/>
    </row>
    <row r="13" spans="1:18" ht="15" customHeight="1">
      <c r="A13" s="979"/>
      <c r="B13" s="980"/>
      <c r="C13" s="980"/>
      <c r="D13" s="980"/>
      <c r="E13" s="980"/>
      <c r="F13" s="981"/>
      <c r="G13" s="547" t="s">
        <v>41</v>
      </c>
      <c r="I13" s="571" t="s">
        <v>2</v>
      </c>
      <c r="J13" s="537" t="str">
        <f>ppk_nip</f>
        <v>19791117 200901 1 006</v>
      </c>
      <c r="M13" s="574"/>
    </row>
    <row r="14" spans="1:18" ht="15" customHeight="1">
      <c r="A14" s="979"/>
      <c r="B14" s="980"/>
      <c r="C14" s="980"/>
      <c r="D14" s="980"/>
      <c r="E14" s="980"/>
      <c r="F14" s="981"/>
      <c r="G14" s="547" t="s">
        <v>50</v>
      </c>
      <c r="I14" s="571" t="s">
        <v>2</v>
      </c>
      <c r="J14" s="566" t="str">
        <f>ppk_jab</f>
        <v>Pejabat Pembuat Komitmen</v>
      </c>
      <c r="K14" s="575"/>
      <c r="L14" s="575"/>
      <c r="M14" s="576"/>
    </row>
    <row r="15" spans="1:18" ht="15" customHeight="1">
      <c r="A15" s="979"/>
      <c r="B15" s="980"/>
      <c r="C15" s="980"/>
      <c r="D15" s="980"/>
      <c r="E15" s="980"/>
      <c r="F15" s="981"/>
      <c r="G15" s="547" t="s">
        <v>585</v>
      </c>
      <c r="I15" s="571" t="s">
        <v>2</v>
      </c>
      <c r="J15" s="964" t="str">
        <f>opd_almt</f>
        <v>Jalan Pejanggik Nomor 14 Telp.( 0370 ) 627689, 625345 Fax: 627677</v>
      </c>
      <c r="K15" s="964"/>
      <c r="L15" s="964"/>
      <c r="M15" s="965"/>
    </row>
    <row r="16" spans="1:18" ht="15" customHeight="1">
      <c r="A16" s="979"/>
      <c r="B16" s="980"/>
      <c r="C16" s="980"/>
      <c r="D16" s="980"/>
      <c r="E16" s="980"/>
      <c r="F16" s="981"/>
      <c r="G16" s="547"/>
      <c r="I16" s="571"/>
      <c r="J16" s="964"/>
      <c r="K16" s="964"/>
      <c r="L16" s="964"/>
      <c r="M16" s="965"/>
    </row>
    <row r="17" spans="1:13" ht="15" customHeight="1">
      <c r="A17" s="979"/>
      <c r="B17" s="980"/>
      <c r="C17" s="980"/>
      <c r="D17" s="980"/>
      <c r="E17" s="980"/>
      <c r="F17" s="981"/>
      <c r="G17" s="547"/>
      <c r="I17" s="571"/>
      <c r="J17" s="578"/>
      <c r="K17" s="578"/>
      <c r="L17" s="578"/>
      <c r="M17" s="579"/>
    </row>
    <row r="18" spans="1:13" ht="15" customHeight="1">
      <c r="A18" s="979"/>
      <c r="B18" s="980"/>
      <c r="C18" s="980"/>
      <c r="D18" s="980"/>
      <c r="E18" s="980"/>
      <c r="F18" s="981"/>
      <c r="G18" s="994" t="str">
        <f>"yang bertindak untuk dan atas nama "&amp;opd_nama&amp;" berdasarkan Surat Keputusan "&amp;pa_jab&amp;" Nomor "&amp;Input!D36&amp;" tanggal "&amp;" tentang "&amp;Input!$D$38&amp;" selanjutnya disebut “Pengguna Jasa”, dengan:"</f>
        <v>yang bertindak untuk dan atas nama Badan Pengelolaan Keuangan dan Aset Daerah berdasarkan Surat Keputusan Kepala Badan Pengelolaan Keuangan dan Aset Daerah Nomor 910/17/BPKAD/2025 tanggal  tentang Penunjukan Pejabat Pembuat Komitmen (PPK) Pada Badan Pengelolaan Keuangan Dan Aset Daerah selanjutnya disebut “Pengguna Jasa”, dengan:</v>
      </c>
      <c r="H18" s="964"/>
      <c r="I18" s="964"/>
      <c r="J18" s="964"/>
      <c r="K18" s="964"/>
      <c r="L18" s="964"/>
      <c r="M18" s="965"/>
    </row>
    <row r="19" spans="1:13" ht="15" customHeight="1">
      <c r="A19" s="979"/>
      <c r="B19" s="980"/>
      <c r="C19" s="980"/>
      <c r="D19" s="980"/>
      <c r="E19" s="980"/>
      <c r="F19" s="981"/>
      <c r="G19" s="994"/>
      <c r="H19" s="964"/>
      <c r="I19" s="964"/>
      <c r="J19" s="964"/>
      <c r="K19" s="964"/>
      <c r="L19" s="964"/>
      <c r="M19" s="965"/>
    </row>
    <row r="20" spans="1:13" ht="15" customHeight="1">
      <c r="A20" s="979"/>
      <c r="B20" s="980"/>
      <c r="C20" s="980"/>
      <c r="D20" s="980"/>
      <c r="E20" s="980"/>
      <c r="F20" s="981"/>
      <c r="G20" s="994"/>
      <c r="H20" s="964"/>
      <c r="I20" s="964"/>
      <c r="J20" s="964"/>
      <c r="K20" s="964"/>
      <c r="L20" s="964"/>
      <c r="M20" s="965"/>
    </row>
    <row r="21" spans="1:13" ht="15" customHeight="1">
      <c r="A21" s="979"/>
      <c r="B21" s="980"/>
      <c r="C21" s="980"/>
      <c r="D21" s="980"/>
      <c r="E21" s="980"/>
      <c r="F21" s="981"/>
      <c r="G21" s="994"/>
      <c r="H21" s="964"/>
      <c r="I21" s="964"/>
      <c r="J21" s="964"/>
      <c r="K21" s="964"/>
      <c r="L21" s="964"/>
      <c r="M21" s="965"/>
    </row>
    <row r="22" spans="1:13" ht="15" customHeight="1">
      <c r="A22" s="979"/>
      <c r="B22" s="980"/>
      <c r="C22" s="980"/>
      <c r="D22" s="980"/>
      <c r="E22" s="980"/>
      <c r="F22" s="981"/>
      <c r="G22" s="994"/>
      <c r="H22" s="964"/>
      <c r="I22" s="964"/>
      <c r="J22" s="964"/>
      <c r="K22" s="964"/>
      <c r="L22" s="964"/>
      <c r="M22" s="965"/>
    </row>
    <row r="23" spans="1:13" ht="15" customHeight="1">
      <c r="A23" s="982"/>
      <c r="B23" s="983"/>
      <c r="C23" s="983"/>
      <c r="D23" s="983"/>
      <c r="E23" s="983"/>
      <c r="F23" s="984"/>
      <c r="G23" s="947"/>
      <c r="H23" s="948"/>
      <c r="I23" s="948"/>
      <c r="J23" s="948"/>
      <c r="K23" s="948"/>
      <c r="L23" s="948"/>
      <c r="M23" s="949"/>
    </row>
    <row r="24" spans="1:13" ht="15" customHeight="1">
      <c r="A24" s="970" t="s">
        <v>409</v>
      </c>
      <c r="B24" s="971"/>
      <c r="C24" s="971"/>
      <c r="D24" s="971"/>
      <c r="E24" s="971"/>
      <c r="F24" s="972"/>
      <c r="G24" s="549" t="s">
        <v>37</v>
      </c>
      <c r="H24" s="550"/>
      <c r="I24" s="580" t="s">
        <v>2</v>
      </c>
      <c r="J24" s="550" t="str">
        <f>IF($G$1="Kosong","________",bu_pimn)</f>
        <v>________</v>
      </c>
      <c r="K24" s="550"/>
      <c r="L24" s="550"/>
      <c r="M24" s="581"/>
    </row>
    <row r="25" spans="1:13" ht="15" customHeight="1">
      <c r="A25" s="973"/>
      <c r="B25" s="974"/>
      <c r="C25" s="974"/>
      <c r="D25" s="974"/>
      <c r="E25" s="974"/>
      <c r="F25" s="975"/>
      <c r="G25" s="551" t="s">
        <v>50</v>
      </c>
      <c r="H25" s="552"/>
      <c r="I25" s="582" t="s">
        <v>2</v>
      </c>
      <c r="J25" s="552" t="str">
        <f>IF($G$1="Kosong","________",bu_pim)</f>
        <v>________</v>
      </c>
      <c r="K25" s="552"/>
      <c r="L25" s="552"/>
      <c r="M25" s="583"/>
    </row>
    <row r="26" spans="1:13" ht="15" customHeight="1">
      <c r="A26" s="973"/>
      <c r="B26" s="974"/>
      <c r="C26" s="974"/>
      <c r="D26" s="974"/>
      <c r="E26" s="974"/>
      <c r="F26" s="975"/>
      <c r="G26" s="551" t="s">
        <v>585</v>
      </c>
      <c r="H26" s="552"/>
      <c r="I26" s="582" t="s">
        <v>2</v>
      </c>
      <c r="J26" s="964" t="str">
        <f>IF($G$1="Kosong","________",bu_almt)</f>
        <v>________</v>
      </c>
      <c r="K26" s="964"/>
      <c r="L26" s="964"/>
      <c r="M26" s="965"/>
    </row>
    <row r="27" spans="1:13" ht="15" customHeight="1">
      <c r="A27" s="973"/>
      <c r="B27" s="974"/>
      <c r="C27" s="974"/>
      <c r="D27" s="974"/>
      <c r="E27" s="974"/>
      <c r="F27" s="975"/>
      <c r="G27" s="551" t="s">
        <v>586</v>
      </c>
      <c r="H27" s="552"/>
      <c r="I27" s="582" t="s">
        <v>2</v>
      </c>
      <c r="J27" s="584" t="str">
        <f>IF($G$1="Kosong","________",Input!D123)</f>
        <v>________</v>
      </c>
      <c r="K27" s="552"/>
      <c r="L27" s="552"/>
      <c r="M27" s="583"/>
    </row>
    <row r="28" spans="1:13" ht="15" customHeight="1">
      <c r="A28" s="973"/>
      <c r="B28" s="974"/>
      <c r="C28" s="974"/>
      <c r="D28" s="974"/>
      <c r="E28" s="974"/>
      <c r="F28" s="975"/>
      <c r="G28" s="551" t="s">
        <v>239</v>
      </c>
      <c r="H28" s="552"/>
      <c r="I28" s="582" t="s">
        <v>2</v>
      </c>
      <c r="J28" s="552" t="str">
        <f>IF($G$1="Kosong","________",Input!D124)</f>
        <v>________</v>
      </c>
      <c r="K28" s="552"/>
      <c r="L28" s="552"/>
      <c r="M28" s="583"/>
    </row>
    <row r="29" spans="1:13" ht="15" customHeight="1">
      <c r="A29" s="973"/>
      <c r="B29" s="974"/>
      <c r="C29" s="974"/>
      <c r="D29" s="974"/>
      <c r="E29" s="974"/>
      <c r="F29" s="975"/>
      <c r="G29" s="551" t="s">
        <v>587</v>
      </c>
      <c r="H29" s="552"/>
      <c r="I29" s="582" t="s">
        <v>2</v>
      </c>
      <c r="J29" s="552" t="str">
        <f>IF($G$1="Kosong","________",Input!D125)</f>
        <v>________</v>
      </c>
      <c r="K29" s="552"/>
      <c r="L29" s="552"/>
      <c r="M29" s="583"/>
    </row>
    <row r="30" spans="1:13" ht="15" customHeight="1">
      <c r="A30" s="973"/>
      <c r="B30" s="974"/>
      <c r="C30" s="974"/>
      <c r="D30" s="974"/>
      <c r="E30" s="974"/>
      <c r="F30" s="975"/>
      <c r="G30" s="551"/>
      <c r="H30" s="553"/>
      <c r="I30" s="552"/>
      <c r="J30" s="552"/>
      <c r="K30" s="552"/>
      <c r="L30" s="552"/>
      <c r="M30" s="583"/>
    </row>
    <row r="31" spans="1:13" ht="15" customHeight="1">
      <c r="A31" s="973"/>
      <c r="B31" s="974"/>
      <c r="C31" s="974"/>
      <c r="D31" s="974"/>
      <c r="E31" s="974"/>
      <c r="F31" s="975"/>
      <c r="G31" s="994" t="str">
        <f>"yang bertindak untuk dan atas nama "&amp;IF($G$1="Kosong","________",bu_nama)&amp;" selanjutnya disebut “Penyedia”."</f>
        <v>yang bertindak untuk dan atas nama ________ selanjutnya disebut “Penyedia”.</v>
      </c>
      <c r="H31" s="964"/>
      <c r="I31" s="964"/>
      <c r="J31" s="964"/>
      <c r="K31" s="964"/>
      <c r="L31" s="964"/>
      <c r="M31" s="965"/>
    </row>
    <row r="32" spans="1:13" ht="15" customHeight="1">
      <c r="A32" s="973"/>
      <c r="B32" s="974"/>
      <c r="C32" s="974"/>
      <c r="D32" s="974"/>
      <c r="E32" s="974"/>
      <c r="F32" s="975"/>
      <c r="G32" s="994"/>
      <c r="H32" s="964"/>
      <c r="I32" s="964"/>
      <c r="J32" s="964"/>
      <c r="K32" s="964"/>
      <c r="L32" s="964"/>
      <c r="M32" s="965"/>
    </row>
    <row r="33" spans="1:15" ht="15" customHeight="1">
      <c r="A33" s="996"/>
      <c r="B33" s="997"/>
      <c r="C33" s="997"/>
      <c r="D33" s="997"/>
      <c r="E33" s="997"/>
      <c r="F33" s="998"/>
      <c r="G33" s="554"/>
      <c r="H33" s="555"/>
      <c r="I33" s="555"/>
      <c r="J33" s="555"/>
      <c r="K33" s="555"/>
      <c r="L33" s="555"/>
      <c r="M33" s="585"/>
      <c r="O33" s="586" t="str">
        <f>"Wakil Sah row: "&amp;ROW(A34)&amp;" - "&amp;ROW(A38)</f>
        <v>Wakil Sah row: 34 - 38</v>
      </c>
    </row>
    <row r="34" spans="1:15" ht="15" hidden="1" customHeight="1">
      <c r="A34" s="970" t="s">
        <v>588</v>
      </c>
      <c r="B34" s="971"/>
      <c r="C34" s="971"/>
      <c r="D34" s="971"/>
      <c r="E34" s="971"/>
      <c r="F34" s="972"/>
      <c r="G34" s="549" t="s">
        <v>37</v>
      </c>
      <c r="H34" s="550"/>
      <c r="I34" s="580" t="s">
        <v>2</v>
      </c>
      <c r="J34" s="550"/>
      <c r="K34" s="550"/>
      <c r="L34" s="550"/>
      <c r="M34" s="581"/>
      <c r="O34" s="537" t="str">
        <f>"diHide ("&amp;ROW(A34)&amp;" - "&amp;ROW(A38)&amp;") kalau nggak perlu"</f>
        <v>diHide (34 - 38) kalau nggak perlu</v>
      </c>
    </row>
    <row r="35" spans="1:15" ht="15" hidden="1" customHeight="1">
      <c r="A35" s="973"/>
      <c r="B35" s="974"/>
      <c r="C35" s="974"/>
      <c r="D35" s="974"/>
      <c r="E35" s="974"/>
      <c r="F35" s="975"/>
      <c r="G35" s="551"/>
      <c r="H35" s="553"/>
      <c r="I35" s="552"/>
      <c r="J35" s="552"/>
      <c r="K35" s="552"/>
      <c r="L35" s="552"/>
      <c r="M35" s="583"/>
    </row>
    <row r="36" spans="1:15" ht="15" hidden="1" customHeight="1">
      <c r="A36" s="973"/>
      <c r="B36" s="974"/>
      <c r="C36" s="974"/>
      <c r="D36" s="974"/>
      <c r="E36" s="974"/>
      <c r="F36" s="975"/>
      <c r="G36" s="994" t="s">
        <v>589</v>
      </c>
      <c r="H36" s="964"/>
      <c r="I36" s="964"/>
      <c r="J36" s="964"/>
      <c r="K36" s="964"/>
      <c r="L36" s="964"/>
      <c r="M36" s="965"/>
    </row>
    <row r="37" spans="1:15" ht="15" hidden="1" customHeight="1">
      <c r="A37" s="973"/>
      <c r="B37" s="974"/>
      <c r="C37" s="974"/>
      <c r="D37" s="974"/>
      <c r="E37" s="974"/>
      <c r="F37" s="975"/>
      <c r="G37" s="994"/>
      <c r="H37" s="964"/>
      <c r="I37" s="964"/>
      <c r="J37" s="964"/>
      <c r="K37" s="964"/>
      <c r="L37" s="964"/>
      <c r="M37" s="965"/>
    </row>
    <row r="38" spans="1:15" ht="15" hidden="1" customHeight="1">
      <c r="A38" s="996"/>
      <c r="B38" s="997"/>
      <c r="C38" s="997"/>
      <c r="D38" s="997"/>
      <c r="E38" s="997"/>
      <c r="F38" s="998"/>
      <c r="G38" s="554"/>
      <c r="H38" s="555"/>
      <c r="I38" s="555"/>
      <c r="J38" s="555"/>
      <c r="K38" s="555"/>
      <c r="L38" s="555"/>
      <c r="M38" s="585"/>
    </row>
    <row r="39" spans="1:15" ht="15" customHeight="1">
      <c r="A39" s="999" t="s">
        <v>410</v>
      </c>
      <c r="B39" s="1000"/>
      <c r="C39" s="1000"/>
      <c r="D39" s="1000"/>
      <c r="E39" s="1000"/>
      <c r="F39" s="1001"/>
      <c r="G39" s="549" t="str">
        <f>"NOMOR DAN TANGGAL SURAT UNDANGAN "&amp;UPPER(met_pil)&amp;":"</f>
        <v>NOMOR DAN TANGGAL SURAT UNDANGAN PENGADAAN LANGSUNG:</v>
      </c>
      <c r="H39" s="550"/>
      <c r="I39" s="580"/>
      <c r="J39" s="550"/>
      <c r="K39" s="550"/>
      <c r="L39" s="550"/>
      <c r="M39" s="581"/>
    </row>
    <row r="40" spans="1:15" ht="15" customHeight="1">
      <c r="A40" s="1002"/>
      <c r="B40" s="1003"/>
      <c r="C40" s="1003"/>
      <c r="D40" s="1003"/>
      <c r="E40" s="1003"/>
      <c r="F40" s="1004"/>
      <c r="G40" s="551" t="s">
        <v>237</v>
      </c>
      <c r="H40" s="552"/>
      <c r="I40" s="582" t="s">
        <v>2</v>
      </c>
      <c r="J40" s="552" t="str">
        <f>IF($G$1="Kosong","________",Input!D79)</f>
        <v>________</v>
      </c>
      <c r="K40" s="552"/>
      <c r="L40" s="552"/>
      <c r="M40" s="583"/>
    </row>
    <row r="41" spans="1:15" ht="15" customHeight="1">
      <c r="A41" s="958" t="str">
        <f>paket</f>
        <v>Belanja Pemeliharaan Bangunan Gedung-Bangunan Gedung Tempat Kerja-Bangunan Gedung Kantor-Pemeliharaan Gedung Bertingkat</v>
      </c>
      <c r="B41" s="959"/>
      <c r="C41" s="959"/>
      <c r="D41" s="959"/>
      <c r="E41" s="959"/>
      <c r="F41" s="960"/>
      <c r="G41" s="551" t="s">
        <v>239</v>
      </c>
      <c r="H41" s="552"/>
      <c r="I41" s="582" t="s">
        <v>2</v>
      </c>
      <c r="J41" s="942" t="str">
        <f>IF($G$1="Kosong","________",Input!H79)</f>
        <v>________</v>
      </c>
      <c r="K41" s="942"/>
      <c r="L41" s="942"/>
      <c r="M41" s="943"/>
    </row>
    <row r="42" spans="1:15" ht="15" customHeight="1">
      <c r="A42" s="958"/>
      <c r="B42" s="959"/>
      <c r="C42" s="959"/>
      <c r="D42" s="959"/>
      <c r="E42" s="959"/>
      <c r="F42" s="960"/>
      <c r="G42" s="549" t="str">
        <f>"NOMOR DAN TANGGAL BERITA ACARA HASIL "&amp;UPPER(met_pil)&amp;":"</f>
        <v>NOMOR DAN TANGGAL BERITA ACARA HASIL PENGADAAN LANGSUNG:</v>
      </c>
      <c r="H42" s="550"/>
      <c r="I42" s="580"/>
      <c r="J42" s="550"/>
      <c r="K42" s="550"/>
      <c r="L42" s="550"/>
      <c r="M42" s="581"/>
    </row>
    <row r="43" spans="1:15" ht="15" customHeight="1">
      <c r="A43" s="958"/>
      <c r="B43" s="959"/>
      <c r="C43" s="959"/>
      <c r="D43" s="959"/>
      <c r="E43" s="959"/>
      <c r="F43" s="960"/>
      <c r="G43" s="551" t="s">
        <v>237</v>
      </c>
      <c r="H43" s="552"/>
      <c r="I43" s="582" t="s">
        <v>2</v>
      </c>
      <c r="J43" s="552" t="str">
        <f>IF($G$1="Kosong","________",Input!D86)</f>
        <v>________</v>
      </c>
      <c r="K43" s="552"/>
      <c r="L43" s="552"/>
      <c r="M43" s="583"/>
    </row>
    <row r="44" spans="1:15" ht="15" customHeight="1">
      <c r="A44" s="958"/>
      <c r="B44" s="959"/>
      <c r="C44" s="959"/>
      <c r="D44" s="959"/>
      <c r="E44" s="959"/>
      <c r="F44" s="960"/>
      <c r="G44" s="551" t="s">
        <v>239</v>
      </c>
      <c r="H44" s="552"/>
      <c r="I44" s="582" t="s">
        <v>2</v>
      </c>
      <c r="J44" s="1009" t="str">
        <f>IF($G$1="Kosong","________",Input!H86)</f>
        <v>________</v>
      </c>
      <c r="K44" s="1009"/>
      <c r="L44" s="1009"/>
      <c r="M44" s="1010"/>
    </row>
    <row r="45" spans="1:15" ht="15" customHeight="1">
      <c r="A45" s="556" t="s">
        <v>411</v>
      </c>
      <c r="B45" s="557"/>
      <c r="C45" s="557"/>
      <c r="D45" s="557"/>
      <c r="E45" s="557"/>
      <c r="F45" s="557"/>
      <c r="G45" s="550"/>
      <c r="H45" s="550"/>
      <c r="I45" s="580"/>
      <c r="J45" s="550"/>
      <c r="K45" s="587"/>
      <c r="L45" s="587"/>
      <c r="M45" s="588"/>
    </row>
    <row r="46" spans="1:15" ht="15" customHeight="1">
      <c r="A46" s="995" t="str">
        <f>"dibebankan atas "&amp;dana&amp;" "&amp;opd_nama&amp;" Tahun Anggaran "&amp;tahun&amp;" untuk mata anggaran kegiatan "&amp;Input!D131</f>
        <v>dibebankan atas DPA Badan Pengelolaan Keuangan dan Aset Daerah Tahun Anggaran 2025 untuk mata anggaran kegiatan 5.1.02.02.09.0014</v>
      </c>
      <c r="B46" s="953"/>
      <c r="C46" s="953"/>
      <c r="D46" s="953"/>
      <c r="E46" s="953"/>
      <c r="F46" s="953"/>
      <c r="G46" s="953"/>
      <c r="H46" s="953"/>
      <c r="I46" s="953"/>
      <c r="J46" s="953"/>
      <c r="K46" s="953"/>
      <c r="L46" s="953"/>
      <c r="M46" s="954"/>
    </row>
    <row r="47" spans="1:15" ht="15" customHeight="1">
      <c r="A47" s="1011"/>
      <c r="B47" s="966"/>
      <c r="C47" s="966"/>
      <c r="D47" s="966"/>
      <c r="E47" s="966"/>
      <c r="F47" s="966"/>
      <c r="G47" s="966"/>
      <c r="H47" s="966"/>
      <c r="I47" s="966"/>
      <c r="J47" s="966"/>
      <c r="K47" s="966"/>
      <c r="L47" s="966"/>
      <c r="M47" s="967"/>
    </row>
    <row r="48" spans="1:15" ht="15" customHeight="1">
      <c r="A48" s="556" t="s">
        <v>590</v>
      </c>
      <c r="B48" s="557"/>
      <c r="C48" s="557"/>
      <c r="D48" s="557"/>
      <c r="E48" s="557"/>
      <c r="F48" s="557"/>
      <c r="G48" s="550"/>
      <c r="H48" s="550"/>
      <c r="I48" s="580"/>
      <c r="J48" s="550"/>
      <c r="K48" s="587"/>
      <c r="L48" s="587"/>
      <c r="M48" s="588"/>
    </row>
    <row r="49" spans="1:15" ht="15" customHeight="1">
      <c r="A49" s="994" t="str">
        <f>masa&amp;" ("&amp;Input!$E$16&amp;") hari kalender dihitung sejak Tanggal Mulai Kerja yang tercantum dalam SPMK sampai dengan Tanggal Penyerahan Pertama Pekerjaan"</f>
        <v>30 (tiga puluh) hari kalender dihitung sejak Tanggal Mulai Kerja yang tercantum dalam SPMK sampai dengan Tanggal Penyerahan Pertama Pekerjaan</v>
      </c>
      <c r="B49" s="964"/>
      <c r="C49" s="964"/>
      <c r="D49" s="964"/>
      <c r="E49" s="964"/>
      <c r="F49" s="964"/>
      <c r="G49" s="964"/>
      <c r="H49" s="964"/>
      <c r="I49" s="964"/>
      <c r="J49" s="964"/>
      <c r="K49" s="964"/>
      <c r="L49" s="964"/>
      <c r="M49" s="965"/>
    </row>
    <row r="50" spans="1:15" ht="15" customHeight="1">
      <c r="A50" s="947"/>
      <c r="B50" s="948"/>
      <c r="C50" s="948"/>
      <c r="D50" s="948"/>
      <c r="E50" s="948"/>
      <c r="F50" s="948"/>
      <c r="G50" s="948"/>
      <c r="H50" s="948"/>
      <c r="I50" s="948"/>
      <c r="J50" s="948"/>
      <c r="K50" s="948"/>
      <c r="L50" s="948"/>
      <c r="M50" s="949"/>
    </row>
    <row r="51" spans="1:15" ht="15" customHeight="1">
      <c r="A51" s="556" t="s">
        <v>591</v>
      </c>
      <c r="B51" s="557"/>
      <c r="C51" s="557"/>
      <c r="D51" s="557"/>
      <c r="E51" s="557"/>
      <c r="F51" s="557"/>
      <c r="G51" s="550"/>
      <c r="H51" s="550"/>
      <c r="I51" s="580"/>
      <c r="J51" s="550"/>
      <c r="K51" s="587"/>
      <c r="L51" s="587"/>
      <c r="M51" s="588"/>
    </row>
    <row r="52" spans="1:15" ht="15" customHeight="1">
      <c r="A52" s="994" t="str">
        <f>IF(Input!$D$132=0,"-",Input!$D$132&amp;" ("&amp;Input!$E$132&amp;") hari kalender dihitung sejak Tanggal Penyerahan Pertama Pekerjaan sampai dengan Tanggal Penyerahan Akhir Pekerjaan")</f>
        <v>90 (sembilan puluh) hari kalender dihitung sejak Tanggal Penyerahan Pertama Pekerjaan sampai dengan Tanggal Penyerahan Akhir Pekerjaan</v>
      </c>
      <c r="B52" s="964"/>
      <c r="C52" s="964"/>
      <c r="D52" s="964"/>
      <c r="E52" s="964"/>
      <c r="F52" s="964"/>
      <c r="G52" s="964"/>
      <c r="H52" s="964"/>
      <c r="I52" s="964"/>
      <c r="J52" s="964"/>
      <c r="K52" s="964"/>
      <c r="L52" s="964"/>
      <c r="M52" s="965"/>
    </row>
    <row r="53" spans="1:15" ht="15" customHeight="1">
      <c r="A53" s="947"/>
      <c r="B53" s="948"/>
      <c r="C53" s="948"/>
      <c r="D53" s="948"/>
      <c r="E53" s="948"/>
      <c r="F53" s="948"/>
      <c r="G53" s="948"/>
      <c r="H53" s="948"/>
      <c r="I53" s="948"/>
      <c r="J53" s="948"/>
      <c r="K53" s="948"/>
      <c r="L53" s="948"/>
      <c r="M53" s="949"/>
    </row>
    <row r="54" spans="1:15" ht="15" customHeight="1">
      <c r="A54" s="561" t="s">
        <v>592</v>
      </c>
      <c r="B54" s="562"/>
      <c r="C54" s="562"/>
      <c r="D54" s="562"/>
      <c r="E54" s="563" t="str">
        <f>hsls</f>
        <v>Lumsum</v>
      </c>
      <c r="F54" s="562"/>
      <c r="G54" s="564"/>
      <c r="H54" s="564"/>
      <c r="I54" s="590"/>
      <c r="J54" s="564"/>
      <c r="K54" s="591"/>
      <c r="L54" s="591"/>
      <c r="M54" s="592"/>
    </row>
    <row r="55" spans="1:15" ht="15" customHeight="1">
      <c r="A55" s="556" t="s">
        <v>593</v>
      </c>
      <c r="B55" s="557"/>
      <c r="C55" s="557"/>
      <c r="D55" s="557"/>
      <c r="E55" s="557"/>
      <c r="F55" s="557"/>
      <c r="G55" s="550"/>
      <c r="H55" s="550"/>
      <c r="I55" s="580"/>
      <c r="J55" s="550"/>
      <c r="K55" s="587"/>
      <c r="L55" s="587"/>
      <c r="M55" s="588"/>
    </row>
    <row r="56" spans="1:15" ht="15" customHeight="1">
      <c r="A56" s="994" t="s">
        <v>594</v>
      </c>
      <c r="B56" s="964"/>
      <c r="C56" s="964"/>
      <c r="D56" s="964"/>
      <c r="E56" s="964"/>
      <c r="F56" s="964"/>
      <c r="G56" s="964"/>
      <c r="H56" s="964"/>
      <c r="I56" s="964"/>
      <c r="J56" s="964"/>
      <c r="K56" s="964"/>
      <c r="L56" s="964"/>
      <c r="M56" s="965"/>
    </row>
    <row r="57" spans="1:15" ht="15" customHeight="1">
      <c r="A57" s="994"/>
      <c r="B57" s="964"/>
      <c r="C57" s="964"/>
      <c r="D57" s="964"/>
      <c r="E57" s="964"/>
      <c r="F57" s="964"/>
      <c r="G57" s="964"/>
      <c r="H57" s="964"/>
      <c r="I57" s="964"/>
      <c r="J57" s="964"/>
      <c r="K57" s="964"/>
      <c r="L57" s="964"/>
      <c r="M57" s="965"/>
    </row>
    <row r="58" spans="1:15" ht="15" customHeight="1">
      <c r="A58" s="994"/>
      <c r="B58" s="964"/>
      <c r="C58" s="964"/>
      <c r="D58" s="964"/>
      <c r="E58" s="964"/>
      <c r="F58" s="964"/>
      <c r="G58" s="964"/>
      <c r="H58" s="964"/>
      <c r="I58" s="964"/>
      <c r="J58" s="964"/>
      <c r="K58" s="964"/>
      <c r="L58" s="964"/>
      <c r="M58" s="965"/>
    </row>
    <row r="59" spans="1:15" ht="15" customHeight="1">
      <c r="A59" s="565" t="s">
        <v>427</v>
      </c>
      <c r="B59" s="566" t="s">
        <v>595</v>
      </c>
      <c r="C59" s="567"/>
      <c r="D59" s="567"/>
      <c r="E59" s="567"/>
      <c r="F59" s="567"/>
      <c r="G59" s="567"/>
      <c r="H59" s="567"/>
      <c r="I59" s="567"/>
      <c r="J59" s="567"/>
      <c r="K59" s="567"/>
      <c r="L59" s="567"/>
      <c r="M59" s="593"/>
    </row>
    <row r="60" spans="1:15" ht="15" customHeight="1">
      <c r="A60" s="565" t="s">
        <v>429</v>
      </c>
      <c r="B60" s="566" t="s">
        <v>596</v>
      </c>
      <c r="C60" s="567"/>
      <c r="D60" s="567"/>
      <c r="E60" s="567"/>
      <c r="F60" s="567"/>
      <c r="G60" s="567"/>
      <c r="H60" s="567"/>
      <c r="I60" s="567"/>
      <c r="J60" s="567"/>
      <c r="K60" s="567"/>
      <c r="L60" s="567"/>
      <c r="M60" s="593"/>
    </row>
    <row r="61" spans="1:15" ht="15" customHeight="1">
      <c r="A61" s="565" t="s">
        <v>431</v>
      </c>
      <c r="B61" s="566" t="str">
        <f>IF(hsls="Lumsum","Surat Penawaran;","Daftar Kuantitas dan Harga hasil negosiasi dan koreksi aritmatik;")</f>
        <v>Surat Penawaran;</v>
      </c>
      <c r="C61" s="567"/>
      <c r="D61" s="567"/>
      <c r="E61" s="567"/>
      <c r="F61" s="567"/>
      <c r="G61" s="567"/>
      <c r="H61" s="567"/>
      <c r="I61" s="567"/>
      <c r="K61" s="567"/>
      <c r="L61" s="567"/>
      <c r="M61" s="593"/>
      <c r="O61" s="586" t="s">
        <v>428</v>
      </c>
    </row>
    <row r="62" spans="1:15" ht="15" customHeight="1">
      <c r="A62" s="565" t="s">
        <v>433</v>
      </c>
      <c r="B62" s="566" t="str">
        <f>IF(hsls="Lumsum","Syarat-Syarat Umum SPK;","Surat Penawaran;")</f>
        <v>Syarat-Syarat Umum SPK;</v>
      </c>
      <c r="C62" s="567"/>
      <c r="D62" s="567"/>
      <c r="E62" s="567"/>
      <c r="F62" s="567"/>
      <c r="G62" s="567"/>
      <c r="H62" s="567"/>
      <c r="I62" s="567"/>
      <c r="K62" s="567"/>
      <c r="L62" s="567"/>
      <c r="M62" s="593"/>
      <c r="O62" s="586" t="s">
        <v>428</v>
      </c>
    </row>
    <row r="63" spans="1:15" ht="15" customHeight="1">
      <c r="A63" s="565" t="s">
        <v>496</v>
      </c>
      <c r="B63" s="566" t="str">
        <f>IF(hsls="Lumsum","gambar-gambar;","Syarat-Syarat Umum SPK;")</f>
        <v>gambar-gambar;</v>
      </c>
      <c r="C63" s="567"/>
      <c r="D63" s="567"/>
      <c r="E63" s="567"/>
      <c r="F63" s="567"/>
      <c r="G63" s="567"/>
      <c r="H63" s="567"/>
      <c r="I63" s="567"/>
      <c r="K63" s="567"/>
      <c r="L63" s="567"/>
      <c r="M63" s="593"/>
      <c r="O63" s="586" t="s">
        <v>428</v>
      </c>
    </row>
    <row r="64" spans="1:15" ht="15" customHeight="1">
      <c r="A64" s="565" t="s">
        <v>498</v>
      </c>
      <c r="B64" s="566" t="s">
        <v>597</v>
      </c>
      <c r="C64" s="567"/>
      <c r="D64" s="567"/>
      <c r="E64" s="567"/>
      <c r="F64" s="567"/>
      <c r="G64" s="567"/>
      <c r="H64" s="567"/>
      <c r="I64" s="567"/>
      <c r="K64" s="567"/>
      <c r="L64" s="567"/>
      <c r="M64" s="593"/>
      <c r="O64" s="586"/>
    </row>
    <row r="65" spans="1:15" ht="15" customHeight="1">
      <c r="A65" s="565" t="s">
        <v>598</v>
      </c>
      <c r="B65" s="566" t="str">
        <f>IF(hsls="Lumsum","Daftar Keluaran dan Harga hasil negosiasi dan koreksi aritmatik; dan","gambar-gambar; dan")</f>
        <v>Daftar Keluaran dan Harga hasil negosiasi dan koreksi aritmatik; dan</v>
      </c>
      <c r="C65" s="567"/>
      <c r="D65" s="567"/>
      <c r="E65" s="567"/>
      <c r="F65" s="567"/>
      <c r="G65" s="567"/>
      <c r="H65" s="567"/>
      <c r="I65" s="567"/>
      <c r="K65" s="567"/>
      <c r="L65" s="567"/>
      <c r="M65" s="593"/>
      <c r="O65" s="586" t="s">
        <v>428</v>
      </c>
    </row>
    <row r="66" spans="1:15" ht="15" customHeight="1">
      <c r="A66" s="565" t="s">
        <v>599</v>
      </c>
      <c r="B66" s="953" t="s">
        <v>600</v>
      </c>
      <c r="C66" s="953"/>
      <c r="D66" s="953"/>
      <c r="E66" s="953"/>
      <c r="F66" s="953"/>
      <c r="G66" s="953"/>
      <c r="H66" s="953"/>
      <c r="I66" s="953"/>
      <c r="J66" s="953"/>
      <c r="K66" s="953"/>
      <c r="L66" s="953"/>
      <c r="M66" s="954"/>
    </row>
    <row r="67" spans="1:15" ht="15" customHeight="1">
      <c r="A67" s="565"/>
      <c r="B67" s="953"/>
      <c r="C67" s="953"/>
      <c r="D67" s="953"/>
      <c r="E67" s="953"/>
      <c r="F67" s="953"/>
      <c r="G67" s="953"/>
      <c r="H67" s="953"/>
      <c r="I67" s="953"/>
      <c r="J67" s="953"/>
      <c r="K67" s="953"/>
      <c r="L67" s="953"/>
      <c r="M67" s="954"/>
    </row>
    <row r="68" spans="1:15" ht="15" customHeight="1">
      <c r="A68" s="594"/>
      <c r="B68" s="595"/>
      <c r="C68" s="595"/>
      <c r="D68" s="595"/>
      <c r="E68" s="595"/>
      <c r="F68" s="595"/>
      <c r="G68" s="595"/>
      <c r="H68" s="595"/>
      <c r="I68" s="595"/>
      <c r="J68" s="595"/>
      <c r="K68" s="595"/>
      <c r="L68" s="595"/>
      <c r="M68" s="602"/>
    </row>
    <row r="69" spans="1:15" ht="15" customHeight="1">
      <c r="A69" s="556" t="s">
        <v>601</v>
      </c>
      <c r="B69" s="557"/>
      <c r="C69" s="557"/>
      <c r="D69" s="557"/>
      <c r="E69" s="557"/>
      <c r="F69" s="557"/>
      <c r="G69" s="550"/>
      <c r="H69" s="550"/>
      <c r="I69" s="580"/>
      <c r="J69" s="550"/>
      <c r="K69" s="587"/>
      <c r="L69" s="587"/>
      <c r="M69" s="588"/>
    </row>
    <row r="70" spans="1:15" ht="15" customHeight="1">
      <c r="A70" s="994" t="str">
        <f>"Harga Kontrak termasuk Pajak Pertambahan Nilai (PPN) adalah sebesar Rp. "&amp;IF($G$1="Kosong",O70,O71)&amp;") yang diperoleh berdasarkan total harga sebagaimana tercantum dalam "&amp;Input!$E$14&amp;" hasil negosiasi dan koreksi aritmatik."</f>
        <v>Harga Kontrak termasuk Pajak Pertambahan Nilai (PPN) adalah sebesar Rp. ........................ (....................................) yang diperoleh berdasarkan total harga sebagaimana tercantum dalam Daftar Keluaran dan Harga hasil negosiasi dan koreksi aritmatik.</v>
      </c>
      <c r="B70" s="964"/>
      <c r="C70" s="964"/>
      <c r="D70" s="964"/>
      <c r="E70" s="964"/>
      <c r="F70" s="964"/>
      <c r="G70" s="964"/>
      <c r="H70" s="964"/>
      <c r="I70" s="964"/>
      <c r="J70" s="964"/>
      <c r="K70" s="964"/>
      <c r="L70" s="964"/>
      <c r="M70" s="965"/>
      <c r="O70" s="603" t="s">
        <v>413</v>
      </c>
    </row>
    <row r="71" spans="1:15" ht="15" customHeight="1">
      <c r="A71" s="994"/>
      <c r="B71" s="964"/>
      <c r="C71" s="964"/>
      <c r="D71" s="964"/>
      <c r="E71" s="964"/>
      <c r="F71" s="964"/>
      <c r="G71" s="964"/>
      <c r="H71" s="964"/>
      <c r="I71" s="964"/>
      <c r="J71" s="964"/>
      <c r="K71" s="964"/>
      <c r="L71" s="964"/>
      <c r="M71" s="965"/>
      <c r="O71" s="603" t="str">
        <f>TEXT(bu_hn,tiko1)&amp;" ("&amp;bu_hn2</f>
        <v>69,862,000 (Enam Puluh Sembilan Juta Delapan Ratus Enam Puluh Dua Ribu Rupiah</v>
      </c>
    </row>
    <row r="72" spans="1:15" ht="15" customHeight="1">
      <c r="A72" s="994"/>
      <c r="B72" s="964"/>
      <c r="C72" s="964"/>
      <c r="D72" s="964"/>
      <c r="E72" s="964"/>
      <c r="F72" s="964"/>
      <c r="G72" s="964"/>
      <c r="H72" s="964"/>
      <c r="I72" s="964"/>
      <c r="J72" s="964"/>
      <c r="K72" s="964"/>
      <c r="L72" s="964"/>
      <c r="M72" s="965"/>
    </row>
    <row r="73" spans="1:15" ht="15" customHeight="1">
      <c r="A73" s="594"/>
      <c r="B73" s="595"/>
      <c r="C73" s="595"/>
      <c r="D73" s="595"/>
      <c r="E73" s="595"/>
      <c r="F73" s="595"/>
      <c r="G73" s="595"/>
      <c r="H73" s="595"/>
      <c r="I73" s="595"/>
      <c r="J73" s="595"/>
      <c r="K73" s="595"/>
      <c r="L73" s="595"/>
      <c r="M73" s="602"/>
    </row>
    <row r="74" spans="1:15" ht="15" customHeight="1">
      <c r="A74" s="556" t="s">
        <v>420</v>
      </c>
      <c r="B74" s="557"/>
      <c r="C74" s="557"/>
      <c r="D74" s="557"/>
      <c r="E74" s="557"/>
      <c r="F74" s="557"/>
      <c r="G74" s="550"/>
      <c r="H74" s="550"/>
      <c r="I74" s="580"/>
      <c r="J74" s="550"/>
      <c r="K74" s="587"/>
      <c r="L74" s="587"/>
      <c r="M74" s="588"/>
    </row>
    <row r="75" spans="1:15" ht="15" customHeight="1">
      <c r="A75" s="1012" t="str">
        <f>Input!D133</f>
        <v>Pengecatan tembok eksterior dan panel ACP Gedung Kantor BPKAD</v>
      </c>
      <c r="B75" s="964"/>
      <c r="C75" s="964"/>
      <c r="D75" s="964"/>
      <c r="E75" s="964"/>
      <c r="F75" s="964"/>
      <c r="G75" s="964"/>
      <c r="H75" s="964"/>
      <c r="I75" s="964"/>
      <c r="J75" s="964"/>
      <c r="K75" s="964"/>
      <c r="L75" s="964"/>
      <c r="M75" s="965"/>
    </row>
    <row r="76" spans="1:15" ht="15" customHeight="1">
      <c r="A76" s="994"/>
      <c r="B76" s="964"/>
      <c r="C76" s="964"/>
      <c r="D76" s="964"/>
      <c r="E76" s="964"/>
      <c r="F76" s="964"/>
      <c r="G76" s="964"/>
      <c r="H76" s="964"/>
      <c r="I76" s="964"/>
      <c r="J76" s="964"/>
      <c r="K76" s="964"/>
      <c r="L76" s="964"/>
      <c r="M76" s="965"/>
    </row>
    <row r="77" spans="1:15" ht="15" customHeight="1">
      <c r="A77" s="594"/>
      <c r="B77" s="595"/>
      <c r="C77" s="595"/>
      <c r="D77" s="595"/>
      <c r="E77" s="595"/>
      <c r="F77" s="595"/>
      <c r="G77" s="595"/>
      <c r="H77" s="595"/>
      <c r="I77" s="595"/>
      <c r="J77" s="595"/>
      <c r="K77" s="595"/>
      <c r="L77" s="595"/>
      <c r="M77" s="602"/>
    </row>
    <row r="78" spans="1:15" ht="15" customHeight="1">
      <c r="A78" s="556" t="s">
        <v>602</v>
      </c>
      <c r="B78" s="557"/>
      <c r="C78" s="557"/>
      <c r="D78" s="557"/>
      <c r="E78" s="557"/>
      <c r="F78" s="557"/>
      <c r="G78" s="550"/>
      <c r="H78" s="550"/>
      <c r="I78" s="580"/>
      <c r="J78" s="550"/>
      <c r="K78" s="587"/>
      <c r="L78" s="587"/>
      <c r="M78" s="588"/>
    </row>
    <row r="79" spans="1:15" ht="15" hidden="1" customHeight="1">
      <c r="A79" s="551" t="s">
        <v>603</v>
      </c>
      <c r="B79" s="552"/>
      <c r="C79" s="552"/>
      <c r="D79" s="552"/>
      <c r="E79" s="552"/>
      <c r="F79" s="552"/>
      <c r="G79" s="552"/>
      <c r="H79" s="552"/>
      <c r="I79" s="552"/>
      <c r="J79" s="552"/>
      <c r="K79" s="552"/>
      <c r="L79" s="552"/>
      <c r="M79" s="583"/>
    </row>
    <row r="80" spans="1:15" ht="15" hidden="1" customHeight="1">
      <c r="A80" s="551" t="str">
        <f>"Pembayaran untuk kontrak ini dilakukan ke "&amp;Input!$D$165&amp;" rekening nomor "&amp;Input!$D$164&amp;" atas nama Penyedia "&amp;Input!$D$166&amp;"."</f>
        <v>Pembayaran untuk kontrak ini dilakukan ke Bank NTB Syariah rekening nomor 001-02-0039638-3 atas nama Penyedia PT. DARUSSALAM MEDIA GROUP.</v>
      </c>
      <c r="B80" s="552"/>
      <c r="C80" s="552"/>
      <c r="D80" s="552"/>
      <c r="E80" s="552"/>
      <c r="F80" s="552"/>
      <c r="G80" s="552"/>
      <c r="H80" s="552"/>
      <c r="I80" s="552"/>
      <c r="J80" s="552"/>
      <c r="K80" s="552"/>
      <c r="L80" s="552"/>
      <c r="M80" s="583"/>
    </row>
    <row r="81" spans="1:16" ht="15" customHeight="1">
      <c r="A81" s="995" t="str">
        <f>IF($G$1="Kosong",A79,A80)</f>
        <v>Pembayaran untuk kontrak ini dilakukan ke Bank ..... rekening nomor : ............. atas nama Penyedia : ................</v>
      </c>
      <c r="B81" s="953"/>
      <c r="C81" s="953"/>
      <c r="D81" s="953"/>
      <c r="E81" s="953"/>
      <c r="F81" s="953"/>
      <c r="G81" s="953"/>
      <c r="H81" s="953"/>
      <c r="I81" s="953"/>
      <c r="J81" s="953"/>
      <c r="K81" s="953"/>
      <c r="L81" s="953"/>
      <c r="M81" s="954"/>
    </row>
    <row r="82" spans="1:16" ht="15" customHeight="1">
      <c r="A82" s="995"/>
      <c r="B82" s="953"/>
      <c r="C82" s="953"/>
      <c r="D82" s="953"/>
      <c r="E82" s="953"/>
      <c r="F82" s="953"/>
      <c r="G82" s="953"/>
      <c r="H82" s="953"/>
      <c r="I82" s="953"/>
      <c r="J82" s="953"/>
      <c r="K82" s="953"/>
      <c r="L82" s="953"/>
      <c r="M82" s="954"/>
    </row>
    <row r="83" spans="1:16" ht="15" customHeight="1">
      <c r="A83" s="551"/>
      <c r="B83" s="596"/>
      <c r="C83" s="596"/>
      <c r="D83" s="596"/>
      <c r="E83" s="596"/>
      <c r="F83" s="596"/>
      <c r="G83" s="596"/>
      <c r="H83" s="596"/>
      <c r="I83" s="596"/>
      <c r="J83" s="596"/>
      <c r="K83" s="596"/>
      <c r="L83" s="596"/>
      <c r="M83" s="604"/>
    </row>
    <row r="84" spans="1:16" ht="15" customHeight="1">
      <c r="A84" s="551" t="str">
        <f>"Pembayaran prestasi pekerjaan dilakukan dengan cara: "</f>
        <v xml:space="preserve">Pembayaran prestasi pekerjaan dilakukan dengan cara: </v>
      </c>
      <c r="B84" s="596"/>
      <c r="C84" s="596"/>
      <c r="D84" s="596"/>
      <c r="E84" s="596"/>
      <c r="F84" s="596"/>
      <c r="G84" s="596"/>
      <c r="H84" s="596"/>
      <c r="I84" s="596"/>
      <c r="J84" s="605" t="str">
        <f>Input!$D$137</f>
        <v>Sekaligus</v>
      </c>
      <c r="K84" s="596"/>
      <c r="L84" s="596"/>
      <c r="M84" s="604"/>
      <c r="O84" s="537" t="s">
        <v>604</v>
      </c>
      <c r="P84" s="586" t="str">
        <f>"row "&amp;ROW(A86)&amp;" - "&amp;ROW(A87)</f>
        <v>row 86 - 87</v>
      </c>
    </row>
    <row r="85" spans="1:16" ht="15" customHeight="1">
      <c r="A85" s="551"/>
      <c r="B85" s="596"/>
      <c r="C85" s="596"/>
      <c r="D85" s="596"/>
      <c r="E85" s="596"/>
      <c r="F85" s="596"/>
      <c r="G85" s="596"/>
      <c r="H85" s="596"/>
      <c r="I85" s="596"/>
      <c r="J85" s="596"/>
      <c r="K85" s="596"/>
      <c r="L85" s="596"/>
      <c r="M85" s="604"/>
      <c r="O85" s="537" t="s">
        <v>605</v>
      </c>
      <c r="P85" s="586" t="str">
        <f>"row "&amp;ROW(A88)&amp;" - "&amp;ROW(A96)</f>
        <v>row 88 - 96</v>
      </c>
    </row>
    <row r="86" spans="1:16" ht="15" customHeight="1">
      <c r="A86" s="995" t="s">
        <v>606</v>
      </c>
      <c r="B86" s="953"/>
      <c r="C86" s="953"/>
      <c r="D86" s="953"/>
      <c r="E86" s="953"/>
      <c r="F86" s="953"/>
      <c r="G86" s="953"/>
      <c r="H86" s="953"/>
      <c r="I86" s="953"/>
      <c r="J86" s="953"/>
      <c r="K86" s="953"/>
      <c r="L86" s="953"/>
      <c r="M86" s="954"/>
      <c r="O86" s="586" t="str">
        <f>IF(Input!$D$137="Bulanan","","Hide "&amp;P84)</f>
        <v>Hide row 86 - 87</v>
      </c>
    </row>
    <row r="87" spans="1:16" ht="15" customHeight="1">
      <c r="A87" s="995"/>
      <c r="B87" s="953"/>
      <c r="C87" s="953"/>
      <c r="D87" s="953"/>
      <c r="E87" s="953"/>
      <c r="F87" s="953"/>
      <c r="G87" s="953"/>
      <c r="H87" s="953"/>
      <c r="I87" s="953"/>
      <c r="J87" s="953"/>
      <c r="K87" s="953"/>
      <c r="L87" s="953"/>
      <c r="M87" s="954"/>
      <c r="O87" s="586"/>
    </row>
    <row r="88" spans="1:16" ht="15" hidden="1" customHeight="1">
      <c r="A88" s="551" t="s">
        <v>607</v>
      </c>
      <c r="B88" s="596"/>
      <c r="C88" s="596"/>
      <c r="D88" s="596"/>
      <c r="E88" s="596"/>
      <c r="F88" s="596"/>
      <c r="G88" s="596"/>
      <c r="H88" s="596"/>
      <c r="I88" s="596"/>
      <c r="J88" s="596"/>
      <c r="K88" s="596"/>
      <c r="L88" s="596"/>
      <c r="M88" s="604"/>
      <c r="O88" s="586" t="str">
        <f>IF(Input!$D$137="Termin","","Hide "&amp;P85)</f>
        <v>Hide row 88 - 96</v>
      </c>
    </row>
    <row r="89" spans="1:16" ht="15" hidden="1" customHeight="1">
      <c r="A89" s="995" t="s">
        <v>608</v>
      </c>
      <c r="B89" s="953"/>
      <c r="C89" s="953"/>
      <c r="D89" s="953"/>
      <c r="E89" s="953"/>
      <c r="F89" s="953"/>
      <c r="G89" s="953"/>
      <c r="H89" s="953"/>
      <c r="I89" s="953"/>
      <c r="J89" s="953"/>
      <c r="K89" s="953"/>
      <c r="L89" s="953"/>
      <c r="M89" s="954"/>
    </row>
    <row r="90" spans="1:16" ht="15" hidden="1" customHeight="1">
      <c r="A90" s="995"/>
      <c r="B90" s="953"/>
      <c r="C90" s="953"/>
      <c r="D90" s="953"/>
      <c r="E90" s="953"/>
      <c r="F90" s="953"/>
      <c r="G90" s="953"/>
      <c r="H90" s="953"/>
      <c r="I90" s="953"/>
      <c r="J90" s="953"/>
      <c r="K90" s="953"/>
      <c r="L90" s="953"/>
      <c r="M90" s="954"/>
    </row>
    <row r="91" spans="1:16" ht="15" hidden="1" customHeight="1">
      <c r="A91" s="995" t="s">
        <v>609</v>
      </c>
      <c r="B91" s="953"/>
      <c r="C91" s="953"/>
      <c r="D91" s="953"/>
      <c r="E91" s="953"/>
      <c r="F91" s="953"/>
      <c r="G91" s="953"/>
      <c r="H91" s="953"/>
      <c r="I91" s="953"/>
      <c r="J91" s="953"/>
      <c r="K91" s="953"/>
      <c r="L91" s="953"/>
      <c r="M91" s="954"/>
    </row>
    <row r="92" spans="1:16" ht="15" hidden="1" customHeight="1">
      <c r="A92" s="995"/>
      <c r="B92" s="953"/>
      <c r="C92" s="953"/>
      <c r="D92" s="953"/>
      <c r="E92" s="953"/>
      <c r="F92" s="953"/>
      <c r="G92" s="953"/>
      <c r="H92" s="953"/>
      <c r="I92" s="953"/>
      <c r="J92" s="953"/>
      <c r="K92" s="953"/>
      <c r="L92" s="953"/>
      <c r="M92" s="954"/>
    </row>
    <row r="93" spans="1:16" ht="15" hidden="1" customHeight="1">
      <c r="A93" s="995" t="s">
        <v>610</v>
      </c>
      <c r="B93" s="953"/>
      <c r="C93" s="953"/>
      <c r="D93" s="953"/>
      <c r="E93" s="953"/>
      <c r="F93" s="953"/>
      <c r="G93" s="953"/>
      <c r="H93" s="953"/>
      <c r="I93" s="953"/>
      <c r="J93" s="953"/>
      <c r="K93" s="953"/>
      <c r="L93" s="953"/>
      <c r="M93" s="954"/>
    </row>
    <row r="94" spans="1:16" ht="15" hidden="1" customHeight="1">
      <c r="A94" s="995"/>
      <c r="B94" s="953"/>
      <c r="C94" s="953"/>
      <c r="D94" s="953"/>
      <c r="E94" s="953"/>
      <c r="F94" s="953"/>
      <c r="G94" s="953"/>
      <c r="H94" s="953"/>
      <c r="I94" s="953"/>
      <c r="J94" s="953"/>
      <c r="K94" s="953"/>
      <c r="L94" s="953"/>
      <c r="M94" s="954"/>
    </row>
    <row r="95" spans="1:16" ht="15" hidden="1" customHeight="1">
      <c r="A95" s="551" t="s">
        <v>611</v>
      </c>
      <c r="B95" s="596"/>
      <c r="C95" s="596"/>
      <c r="D95" s="596"/>
      <c r="E95" s="596"/>
      <c r="F95" s="596"/>
      <c r="G95" s="596"/>
      <c r="H95" s="596"/>
      <c r="I95" s="596"/>
      <c r="J95" s="596"/>
      <c r="K95" s="596"/>
      <c r="L95" s="596"/>
      <c r="M95" s="604"/>
    </row>
    <row r="96" spans="1:16" ht="15" customHeight="1">
      <c r="A96" s="551"/>
      <c r="B96" s="596"/>
      <c r="C96" s="596"/>
      <c r="D96" s="596"/>
      <c r="E96" s="596"/>
      <c r="F96" s="596"/>
      <c r="G96" s="596"/>
      <c r="H96" s="596"/>
      <c r="I96" s="596"/>
      <c r="J96" s="596"/>
      <c r="K96" s="596"/>
      <c r="L96" s="596"/>
      <c r="M96" s="604"/>
    </row>
    <row r="97" spans="1:15" ht="15" customHeight="1">
      <c r="A97" s="551" t="s">
        <v>612</v>
      </c>
      <c r="B97" s="596"/>
      <c r="C97" s="596"/>
      <c r="D97" s="596"/>
      <c r="E97" s="596"/>
      <c r="F97" s="596"/>
      <c r="G97" s="596"/>
      <c r="H97" s="596"/>
      <c r="I97" s="596"/>
      <c r="J97" s="596"/>
      <c r="K97" s="596"/>
      <c r="L97" s="596"/>
      <c r="M97" s="604"/>
    </row>
    <row r="98" spans="1:15" ht="15" customHeight="1">
      <c r="A98" s="799" t="s">
        <v>419</v>
      </c>
      <c r="B98" s="552" t="s">
        <v>613</v>
      </c>
      <c r="C98" s="596"/>
      <c r="D98" s="596"/>
      <c r="E98" s="596"/>
      <c r="F98" s="596"/>
      <c r="G98" s="596"/>
      <c r="H98" s="596"/>
      <c r="I98" s="596"/>
      <c r="J98" s="596"/>
      <c r="K98" s="596"/>
      <c r="L98" s="596"/>
      <c r="M98" s="604"/>
    </row>
    <row r="99" spans="1:15" ht="15" customHeight="1">
      <c r="A99" s="799" t="s">
        <v>422</v>
      </c>
      <c r="B99" s="552" t="s">
        <v>614</v>
      </c>
      <c r="C99" s="596"/>
      <c r="D99" s="596"/>
      <c r="E99" s="596"/>
      <c r="F99" s="596"/>
      <c r="G99" s="596"/>
      <c r="H99" s="596"/>
      <c r="I99" s="596"/>
      <c r="J99" s="596"/>
      <c r="K99" s="596"/>
      <c r="L99" s="596"/>
      <c r="M99" s="604"/>
    </row>
    <row r="100" spans="1:15" ht="15" customHeight="1">
      <c r="A100" s="799" t="s">
        <v>425</v>
      </c>
      <c r="B100" s="552" t="s">
        <v>615</v>
      </c>
      <c r="C100" s="596"/>
      <c r="D100" s="596"/>
      <c r="E100" s="596"/>
      <c r="F100" s="596"/>
      <c r="G100" s="596"/>
      <c r="H100" s="596"/>
      <c r="I100" s="596"/>
      <c r="J100" s="596"/>
      <c r="K100" s="596"/>
      <c r="L100" s="596"/>
      <c r="M100" s="604"/>
    </row>
    <row r="101" spans="1:15" ht="15" customHeight="1">
      <c r="A101" s="597"/>
      <c r="B101" s="598"/>
      <c r="C101" s="598"/>
      <c r="D101" s="598"/>
      <c r="E101" s="598"/>
      <c r="F101" s="598"/>
      <c r="G101" s="598"/>
      <c r="H101" s="598"/>
      <c r="I101" s="598"/>
      <c r="J101" s="598"/>
      <c r="K101" s="598"/>
      <c r="L101" s="598"/>
      <c r="M101" s="606"/>
    </row>
    <row r="102" spans="1:15" ht="15" customHeight="1">
      <c r="A102" s="556" t="s">
        <v>616</v>
      </c>
      <c r="B102" s="557"/>
      <c r="C102" s="557"/>
      <c r="D102" s="557"/>
      <c r="E102" s="557"/>
      <c r="F102" s="557"/>
      <c r="G102" s="550"/>
      <c r="H102" s="550"/>
      <c r="I102" s="580"/>
      <c r="J102" s="550"/>
      <c r="K102" s="587"/>
      <c r="L102" s="587"/>
      <c r="M102" s="588"/>
    </row>
    <row r="103" spans="1:15" ht="15" customHeight="1">
      <c r="A103" s="551" t="str">
        <f>IF(Input!$D$138="Diberikan","Kontrak ini diberikan uang muka sebesar "&amp;Input!$E$138&amp;"% ("&amp;Input!$F$138&amp;" perseratus) dari Harga Pekerjaan.","Kontrak ini tidak diberikan uang muka.")</f>
        <v>Kontrak ini diberikan uang muka sebesar 30% (tiga puluh perseratus) dari Harga Pekerjaan.</v>
      </c>
      <c r="B103" s="552"/>
      <c r="C103" s="552"/>
      <c r="D103" s="552"/>
      <c r="E103" s="552"/>
      <c r="F103" s="552"/>
      <c r="G103" s="552"/>
      <c r="H103" s="552"/>
      <c r="I103" s="552"/>
      <c r="J103" s="552"/>
      <c r="K103" s="552"/>
      <c r="L103" s="552"/>
      <c r="M103" s="583"/>
    </row>
    <row r="104" spans="1:15" ht="15" customHeight="1">
      <c r="A104" s="554"/>
      <c r="B104" s="555"/>
      <c r="C104" s="555"/>
      <c r="D104" s="555"/>
      <c r="E104" s="555"/>
      <c r="F104" s="555"/>
      <c r="G104" s="555"/>
      <c r="H104" s="555"/>
      <c r="I104" s="555"/>
      <c r="J104" s="555"/>
      <c r="K104" s="555"/>
      <c r="L104" s="555"/>
      <c r="M104" s="585"/>
      <c r="O104" s="586" t="str">
        <f>"Fasilitas: row "&amp;ROW(A105)&amp;" - "&amp;ROW(A117)</f>
        <v>Fasilitas: row 105 - 117</v>
      </c>
    </row>
    <row r="105" spans="1:15" ht="15" hidden="1" customHeight="1">
      <c r="A105" s="556" t="s">
        <v>617</v>
      </c>
      <c r="B105" s="557"/>
      <c r="C105" s="557"/>
      <c r="D105" s="557"/>
      <c r="E105" s="557"/>
      <c r="F105" s="557"/>
      <c r="G105" s="550"/>
      <c r="H105" s="550"/>
      <c r="I105" s="580"/>
      <c r="J105" s="550"/>
      <c r="K105" s="587"/>
      <c r="L105" s="587"/>
      <c r="M105" s="588"/>
    </row>
    <row r="106" spans="1:15" ht="15" hidden="1" customHeight="1">
      <c r="A106" s="551" t="s">
        <v>618</v>
      </c>
      <c r="B106" s="552"/>
      <c r="C106" s="552"/>
      <c r="D106" s="552"/>
      <c r="E106" s="552"/>
      <c r="F106" s="552"/>
      <c r="G106" s="552"/>
      <c r="H106" s="552"/>
      <c r="I106" s="552"/>
      <c r="J106" s="552"/>
      <c r="K106" s="552"/>
      <c r="L106" s="552"/>
      <c r="M106" s="583"/>
    </row>
    <row r="107" spans="1:15" ht="15" hidden="1" customHeight="1">
      <c r="A107" s="599" t="s">
        <v>619</v>
      </c>
      <c r="B107" s="552"/>
      <c r="C107" s="552"/>
      <c r="D107" s="552"/>
      <c r="E107" s="552"/>
      <c r="F107" s="552"/>
      <c r="G107" s="552"/>
      <c r="H107" s="552"/>
      <c r="I107" s="552"/>
      <c r="J107" s="552"/>
      <c r="K107" s="552"/>
      <c r="L107" s="552"/>
      <c r="M107" s="583"/>
    </row>
    <row r="108" spans="1:15" ht="15" hidden="1" customHeight="1">
      <c r="A108" s="799" t="s">
        <v>419</v>
      </c>
      <c r="B108" s="552" t="s">
        <v>620</v>
      </c>
      <c r="C108" s="552"/>
      <c r="D108" s="552"/>
      <c r="E108" s="552"/>
      <c r="F108" s="552"/>
      <c r="G108" s="552"/>
      <c r="H108" s="552"/>
      <c r="I108" s="552"/>
      <c r="J108" s="552"/>
      <c r="K108" s="552"/>
      <c r="L108" s="552"/>
      <c r="M108" s="583"/>
    </row>
    <row r="109" spans="1:15" ht="15" hidden="1" customHeight="1">
      <c r="A109" s="799" t="s">
        <v>422</v>
      </c>
      <c r="B109" s="552" t="s">
        <v>621</v>
      </c>
      <c r="C109" s="552"/>
      <c r="D109" s="552"/>
      <c r="E109" s="552"/>
      <c r="F109" s="552"/>
      <c r="G109" s="552"/>
      <c r="H109" s="552"/>
      <c r="I109" s="552"/>
      <c r="J109" s="552"/>
      <c r="K109" s="552"/>
      <c r="L109" s="552"/>
      <c r="M109" s="583"/>
    </row>
    <row r="110" spans="1:15" ht="15" hidden="1" customHeight="1">
      <c r="A110" s="799" t="s">
        <v>425</v>
      </c>
      <c r="B110" s="552" t="s">
        <v>622</v>
      </c>
      <c r="C110" s="552"/>
      <c r="D110" s="552"/>
      <c r="E110" s="552"/>
      <c r="F110" s="552"/>
      <c r="G110" s="552"/>
      <c r="H110" s="552"/>
      <c r="I110" s="552"/>
      <c r="J110" s="552"/>
      <c r="K110" s="552"/>
      <c r="L110" s="552"/>
      <c r="M110" s="583"/>
    </row>
    <row r="111" spans="1:15" ht="15" hidden="1" customHeight="1">
      <c r="A111" s="799" t="s">
        <v>435</v>
      </c>
      <c r="B111" s="552" t="s">
        <v>623</v>
      </c>
      <c r="C111" s="552"/>
      <c r="D111" s="552"/>
      <c r="E111" s="552"/>
      <c r="F111" s="552"/>
      <c r="G111" s="552"/>
      <c r="H111" s="552"/>
      <c r="I111" s="552"/>
      <c r="J111" s="552"/>
      <c r="K111" s="552"/>
      <c r="L111" s="552"/>
      <c r="M111" s="583"/>
    </row>
    <row r="112" spans="1:15" ht="15" hidden="1" customHeight="1">
      <c r="A112" s="599" t="s">
        <v>624</v>
      </c>
      <c r="B112" s="552"/>
      <c r="C112" s="552"/>
      <c r="D112" s="552"/>
      <c r="E112" s="552"/>
      <c r="F112" s="552"/>
      <c r="G112" s="552"/>
      <c r="H112" s="552"/>
      <c r="I112" s="552"/>
      <c r="J112" s="552"/>
      <c r="K112" s="552"/>
      <c r="L112" s="552"/>
      <c r="M112" s="583"/>
    </row>
    <row r="113" spans="1:13" ht="15" hidden="1" customHeight="1">
      <c r="A113" s="799" t="s">
        <v>419</v>
      </c>
      <c r="B113" s="552" t="s">
        <v>625</v>
      </c>
      <c r="C113" s="552"/>
      <c r="D113" s="552"/>
      <c r="E113" s="552"/>
      <c r="F113" s="552"/>
      <c r="G113" s="552"/>
      <c r="H113" s="552"/>
      <c r="I113" s="552"/>
      <c r="J113" s="552"/>
      <c r="K113" s="552"/>
      <c r="L113" s="552"/>
      <c r="M113" s="583"/>
    </row>
    <row r="114" spans="1:13" ht="15" hidden="1" customHeight="1">
      <c r="A114" s="799" t="s">
        <v>422</v>
      </c>
      <c r="B114" s="552" t="s">
        <v>626</v>
      </c>
      <c r="C114" s="552"/>
      <c r="D114" s="552"/>
      <c r="E114" s="552"/>
      <c r="F114" s="552"/>
      <c r="G114" s="552"/>
      <c r="H114" s="552"/>
      <c r="I114" s="552"/>
      <c r="J114" s="552"/>
      <c r="K114" s="552"/>
      <c r="L114" s="552"/>
      <c r="M114" s="583"/>
    </row>
    <row r="115" spans="1:13" ht="15" hidden="1" customHeight="1">
      <c r="A115" s="1013" t="s">
        <v>627</v>
      </c>
      <c r="B115" s="1014"/>
      <c r="C115" s="1014"/>
      <c r="D115" s="1014"/>
      <c r="E115" s="1014"/>
      <c r="F115" s="1014"/>
      <c r="G115" s="1014"/>
      <c r="H115" s="1014"/>
      <c r="I115" s="1014"/>
      <c r="J115" s="1014"/>
      <c r="K115" s="1014"/>
      <c r="L115" s="1014"/>
      <c r="M115" s="1015"/>
    </row>
    <row r="116" spans="1:13" ht="15" hidden="1" customHeight="1">
      <c r="A116" s="1013"/>
      <c r="B116" s="1014"/>
      <c r="C116" s="1014"/>
      <c r="D116" s="1014"/>
      <c r="E116" s="1014"/>
      <c r="F116" s="1014"/>
      <c r="G116" s="1014"/>
      <c r="H116" s="1014"/>
      <c r="I116" s="1014"/>
      <c r="J116" s="1014"/>
      <c r="K116" s="1014"/>
      <c r="L116" s="1014"/>
      <c r="M116" s="1015"/>
    </row>
    <row r="117" spans="1:13" ht="15" hidden="1" customHeight="1">
      <c r="A117" s="554"/>
      <c r="B117" s="555"/>
      <c r="C117" s="555"/>
      <c r="D117" s="555"/>
      <c r="E117" s="555"/>
      <c r="F117" s="555"/>
      <c r="G117" s="555"/>
      <c r="H117" s="555"/>
      <c r="I117" s="555"/>
      <c r="J117" s="555"/>
      <c r="K117" s="555"/>
      <c r="L117" s="555"/>
      <c r="M117" s="585"/>
    </row>
    <row r="118" spans="1:13" ht="15" customHeight="1">
      <c r="A118" s="950" t="s">
        <v>415</v>
      </c>
      <c r="B118" s="951"/>
      <c r="C118" s="951"/>
      <c r="D118" s="951"/>
      <c r="E118" s="951"/>
      <c r="F118" s="951"/>
      <c r="G118" s="951"/>
      <c r="H118" s="951"/>
      <c r="I118" s="951" t="s">
        <v>416</v>
      </c>
      <c r="J118" s="951"/>
      <c r="K118" s="951"/>
      <c r="L118" s="951"/>
      <c r="M118" s="952"/>
    </row>
    <row r="119" spans="1:13" ht="15" customHeight="1">
      <c r="A119" s="935" t="str">
        <f>opd_nama</f>
        <v>Badan Pengelolaan Keuangan dan Aset Daerah</v>
      </c>
      <c r="B119" s="936"/>
      <c r="C119" s="936"/>
      <c r="D119" s="936"/>
      <c r="E119" s="936"/>
      <c r="F119" s="936"/>
      <c r="G119" s="936"/>
      <c r="H119" s="936"/>
      <c r="I119" s="936" t="str">
        <f>IF($G$1="Kosong","________",bu_nama)</f>
        <v>________</v>
      </c>
      <c r="J119" s="936"/>
      <c r="K119" s="936"/>
      <c r="L119" s="936"/>
      <c r="M119" s="937"/>
    </row>
    <row r="120" spans="1:13" ht="15" customHeight="1">
      <c r="A120" s="961"/>
      <c r="B120" s="962"/>
      <c r="C120" s="962"/>
      <c r="D120" s="962"/>
      <c r="E120" s="962"/>
      <c r="F120" s="962"/>
      <c r="G120" s="962"/>
      <c r="H120" s="962"/>
      <c r="I120" s="936"/>
      <c r="J120" s="936"/>
      <c r="K120" s="936"/>
      <c r="L120" s="936"/>
      <c r="M120" s="937"/>
    </row>
    <row r="121" spans="1:13" ht="5.25" customHeight="1">
      <c r="A121" s="935"/>
      <c r="B121" s="936"/>
      <c r="C121" s="936"/>
      <c r="D121" s="936"/>
      <c r="E121" s="936"/>
      <c r="F121" s="936"/>
      <c r="G121" s="936"/>
      <c r="H121" s="936"/>
      <c r="I121" s="936"/>
      <c r="J121" s="936"/>
      <c r="K121" s="936"/>
      <c r="L121" s="936"/>
      <c r="M121" s="937"/>
    </row>
    <row r="122" spans="1:13" ht="47.25" customHeight="1">
      <c r="A122" s="1005" t="str">
        <f>IF($G$1="Kosong","[tanda tangan dan cap (jika salinan asli ini untuk Penyedia maka rekatkan materai Rp 6.000,- )]","")</f>
        <v>[tanda tangan dan cap (jika salinan asli ini untuk Penyedia maka rekatkan materai Rp 6.000,- )]</v>
      </c>
      <c r="B122" s="1006"/>
      <c r="C122" s="1006"/>
      <c r="D122" s="1006"/>
      <c r="E122" s="1006"/>
      <c r="F122" s="1006"/>
      <c r="G122" s="1006"/>
      <c r="H122" s="1006"/>
      <c r="I122" s="1006" t="str">
        <f>IF($G$1="Kosong","[tanda tangan dan cap (jika salinan asli ini untuk proyek/satuan kerja Pengguna Jasa maka rekatkan materai Rp 6.000,- )]","")</f>
        <v>[tanda tangan dan cap (jika salinan asli ini untuk proyek/satuan kerja Pengguna Jasa maka rekatkan materai Rp 6.000,- )]</v>
      </c>
      <c r="J122" s="1006"/>
      <c r="K122" s="1006"/>
      <c r="L122" s="1006"/>
      <c r="M122" s="1007"/>
    </row>
    <row r="123" spans="1:13" ht="5.25" customHeight="1">
      <c r="A123" s="935"/>
      <c r="B123" s="936"/>
      <c r="C123" s="936"/>
      <c r="D123" s="936"/>
      <c r="E123" s="936"/>
      <c r="F123" s="936"/>
      <c r="G123" s="936"/>
      <c r="H123" s="936"/>
      <c r="I123" s="936"/>
      <c r="J123" s="936"/>
      <c r="K123" s="936"/>
      <c r="L123" s="936"/>
      <c r="M123" s="937"/>
    </row>
    <row r="124" spans="1:13" ht="15" customHeight="1">
      <c r="A124" s="955" t="str">
        <f>ppk_nama</f>
        <v>Ika Kurnia Mustika, ST, MT</v>
      </c>
      <c r="B124" s="956"/>
      <c r="C124" s="956"/>
      <c r="D124" s="956"/>
      <c r="E124" s="956"/>
      <c r="F124" s="956"/>
      <c r="G124" s="956"/>
      <c r="H124" s="956"/>
      <c r="I124" s="956" t="str">
        <f>IF($G$1="Kosong","________",bu_pimn)</f>
        <v>________</v>
      </c>
      <c r="J124" s="956"/>
      <c r="K124" s="956"/>
      <c r="L124" s="956"/>
      <c r="M124" s="957"/>
    </row>
    <row r="125" spans="1:13" ht="15" customHeight="1">
      <c r="A125" s="958" t="str">
        <f>ppk_jab</f>
        <v>Pejabat Pembuat Komitmen</v>
      </c>
      <c r="B125" s="959"/>
      <c r="C125" s="959"/>
      <c r="D125" s="959"/>
      <c r="E125" s="959"/>
      <c r="F125" s="959"/>
      <c r="G125" s="959"/>
      <c r="H125" s="959"/>
      <c r="I125" s="959" t="str">
        <f>IF($G$1="Kosong","Jabatan",bu_pim)</f>
        <v>Jabatan</v>
      </c>
      <c r="J125" s="959"/>
      <c r="K125" s="959"/>
      <c r="L125" s="959"/>
      <c r="M125" s="960"/>
    </row>
    <row r="126" spans="1:13" ht="15" customHeight="1">
      <c r="A126" s="554"/>
      <c r="B126" s="555"/>
      <c r="C126" s="555"/>
      <c r="D126" s="555"/>
      <c r="E126" s="555"/>
      <c r="F126" s="555"/>
      <c r="G126" s="555"/>
      <c r="H126" s="555"/>
      <c r="I126" s="555"/>
      <c r="J126" s="555"/>
      <c r="K126" s="555"/>
      <c r="L126" s="555"/>
      <c r="M126" s="585"/>
    </row>
    <row r="127" spans="1:13" ht="15" customHeight="1">
      <c r="A127" s="549"/>
      <c r="B127" s="550"/>
      <c r="C127" s="550"/>
      <c r="D127" s="550"/>
      <c r="E127" s="550"/>
      <c r="F127" s="550"/>
      <c r="G127" s="550"/>
      <c r="H127" s="550"/>
      <c r="I127" s="550"/>
      <c r="J127" s="550"/>
      <c r="K127" s="550"/>
      <c r="L127" s="550"/>
      <c r="M127" s="581"/>
    </row>
    <row r="128" spans="1:13" ht="15" customHeight="1">
      <c r="A128" s="955" t="s">
        <v>418</v>
      </c>
      <c r="B128" s="956"/>
      <c r="C128" s="956"/>
      <c r="D128" s="956"/>
      <c r="E128" s="956"/>
      <c r="F128" s="956"/>
      <c r="G128" s="956"/>
      <c r="H128" s="956"/>
      <c r="I128" s="956"/>
      <c r="J128" s="956"/>
      <c r="K128" s="956"/>
      <c r="L128" s="956"/>
      <c r="M128" s="957"/>
    </row>
    <row r="129" spans="1:13" ht="15" customHeight="1">
      <c r="A129" s="961" t="s">
        <v>403</v>
      </c>
      <c r="B129" s="962"/>
      <c r="C129" s="962"/>
      <c r="D129" s="962"/>
      <c r="E129" s="962"/>
      <c r="F129" s="962"/>
      <c r="G129" s="962"/>
      <c r="H129" s="962"/>
      <c r="I129" s="962"/>
      <c r="J129" s="962"/>
      <c r="K129" s="962"/>
      <c r="L129" s="962"/>
      <c r="M129" s="963"/>
    </row>
    <row r="130" spans="1:13" ht="15" customHeight="1">
      <c r="A130" s="551"/>
      <c r="B130" s="552"/>
      <c r="C130" s="552"/>
      <c r="D130" s="552"/>
      <c r="E130" s="552"/>
      <c r="F130" s="552"/>
      <c r="G130" s="552"/>
      <c r="H130" s="552"/>
      <c r="I130" s="552"/>
      <c r="J130" s="552"/>
      <c r="K130" s="552"/>
      <c r="L130" s="552"/>
      <c r="M130" s="583"/>
    </row>
    <row r="131" spans="1:13" ht="15" customHeight="1">
      <c r="A131" s="551"/>
      <c r="B131" s="552"/>
      <c r="C131" s="552"/>
      <c r="D131" s="552"/>
      <c r="E131" s="552"/>
      <c r="F131" s="552"/>
      <c r="G131" s="552"/>
      <c r="H131" s="552"/>
      <c r="I131" s="552"/>
      <c r="J131" s="552"/>
      <c r="K131" s="552"/>
      <c r="L131" s="552"/>
      <c r="M131" s="583"/>
    </row>
    <row r="132" spans="1:13" ht="15" customHeight="1">
      <c r="A132" s="798" t="s">
        <v>419</v>
      </c>
      <c r="B132" s="552" t="s">
        <v>420</v>
      </c>
      <c r="C132" s="607"/>
      <c r="D132" s="607"/>
      <c r="E132" s="552"/>
      <c r="F132" s="552"/>
      <c r="G132" s="552"/>
      <c r="H132" s="552"/>
      <c r="I132" s="552"/>
      <c r="J132" s="552"/>
      <c r="K132" s="552"/>
      <c r="L132" s="552"/>
      <c r="M132" s="583"/>
    </row>
    <row r="133" spans="1:13" ht="15" customHeight="1">
      <c r="A133" s="601"/>
      <c r="B133" s="953" t="s">
        <v>421</v>
      </c>
      <c r="C133" s="953"/>
      <c r="D133" s="953"/>
      <c r="E133" s="953"/>
      <c r="F133" s="953"/>
      <c r="G133" s="953"/>
      <c r="H133" s="953"/>
      <c r="I133" s="953"/>
      <c r="J133" s="953"/>
      <c r="K133" s="953"/>
      <c r="L133" s="953"/>
      <c r="M133" s="954"/>
    </row>
    <row r="134" spans="1:13" ht="15" customHeight="1">
      <c r="A134" s="601"/>
      <c r="B134" s="953"/>
      <c r="C134" s="953"/>
      <c r="D134" s="953"/>
      <c r="E134" s="953"/>
      <c r="F134" s="953"/>
      <c r="G134" s="953"/>
      <c r="H134" s="953"/>
      <c r="I134" s="953"/>
      <c r="J134" s="953"/>
      <c r="K134" s="953"/>
      <c r="L134" s="953"/>
      <c r="M134" s="954"/>
    </row>
    <row r="135" spans="1:13" ht="15" customHeight="1">
      <c r="A135" s="601"/>
      <c r="B135" s="552"/>
      <c r="C135" s="607"/>
      <c r="D135" s="607"/>
      <c r="E135" s="552"/>
      <c r="F135" s="552"/>
      <c r="G135" s="552"/>
      <c r="H135" s="552"/>
      <c r="I135" s="552"/>
      <c r="J135" s="552"/>
      <c r="K135" s="552"/>
      <c r="L135" s="552"/>
      <c r="M135" s="583"/>
    </row>
    <row r="136" spans="1:13" ht="15" customHeight="1">
      <c r="A136" s="798" t="s">
        <v>422</v>
      </c>
      <c r="B136" s="552" t="s">
        <v>423</v>
      </c>
      <c r="C136" s="607"/>
      <c r="D136" s="607"/>
      <c r="E136" s="552"/>
      <c r="F136" s="552"/>
      <c r="G136" s="552"/>
      <c r="H136" s="552"/>
      <c r="I136" s="552"/>
      <c r="J136" s="552"/>
      <c r="K136" s="552"/>
      <c r="L136" s="552"/>
      <c r="M136" s="583"/>
    </row>
    <row r="137" spans="1:13" ht="15" customHeight="1">
      <c r="A137" s="601"/>
      <c r="B137" s="552" t="s">
        <v>424</v>
      </c>
      <c r="C137" s="607"/>
      <c r="D137" s="607"/>
      <c r="E137" s="552"/>
      <c r="F137" s="552"/>
      <c r="G137" s="552"/>
      <c r="H137" s="552"/>
      <c r="I137" s="552"/>
      <c r="J137" s="552"/>
      <c r="K137" s="552"/>
      <c r="L137" s="552"/>
      <c r="M137" s="583"/>
    </row>
    <row r="138" spans="1:13" ht="15" customHeight="1">
      <c r="A138" s="601"/>
      <c r="B138" s="552"/>
      <c r="C138" s="607"/>
      <c r="D138" s="607"/>
      <c r="E138" s="552"/>
      <c r="F138" s="552"/>
      <c r="G138" s="552"/>
      <c r="H138" s="552"/>
      <c r="I138" s="552"/>
      <c r="J138" s="552"/>
      <c r="K138" s="552"/>
      <c r="L138" s="552"/>
      <c r="M138" s="583"/>
    </row>
    <row r="139" spans="1:13" ht="15" customHeight="1">
      <c r="A139" s="798" t="s">
        <v>425</v>
      </c>
      <c r="B139" s="953" t="s">
        <v>628</v>
      </c>
      <c r="C139" s="953"/>
      <c r="D139" s="953"/>
      <c r="E139" s="953"/>
      <c r="F139" s="953"/>
      <c r="G139" s="953"/>
      <c r="H139" s="953"/>
      <c r="I139" s="953"/>
      <c r="J139" s="953"/>
      <c r="K139" s="953"/>
      <c r="L139" s="953"/>
      <c r="M139" s="954"/>
    </row>
    <row r="140" spans="1:13" ht="15" customHeight="1">
      <c r="A140" s="601"/>
      <c r="B140" s="953"/>
      <c r="C140" s="953"/>
      <c r="D140" s="953"/>
      <c r="E140" s="953"/>
      <c r="F140" s="953"/>
      <c r="G140" s="953"/>
      <c r="H140" s="953"/>
      <c r="I140" s="953"/>
      <c r="J140" s="953"/>
      <c r="K140" s="953"/>
      <c r="L140" s="953"/>
      <c r="M140" s="954"/>
    </row>
    <row r="141" spans="1:13" ht="15" customHeight="1">
      <c r="A141" s="601"/>
      <c r="B141" s="552" t="s">
        <v>427</v>
      </c>
      <c r="C141" s="964" t="s">
        <v>629</v>
      </c>
      <c r="D141" s="964"/>
      <c r="E141" s="964"/>
      <c r="F141" s="964"/>
      <c r="G141" s="964"/>
      <c r="H141" s="964"/>
      <c r="I141" s="964"/>
      <c r="J141" s="964"/>
      <c r="K141" s="964"/>
      <c r="L141" s="964"/>
      <c r="M141" s="965"/>
    </row>
    <row r="142" spans="1:13" ht="15" customHeight="1">
      <c r="A142" s="601"/>
      <c r="B142" s="552"/>
      <c r="C142" s="964"/>
      <c r="D142" s="964"/>
      <c r="E142" s="964"/>
      <c r="F142" s="964"/>
      <c r="G142" s="964"/>
      <c r="H142" s="964"/>
      <c r="I142" s="964"/>
      <c r="J142" s="964"/>
      <c r="K142" s="964"/>
      <c r="L142" s="964"/>
      <c r="M142" s="965"/>
    </row>
    <row r="143" spans="1:13" ht="15" customHeight="1">
      <c r="A143" s="601"/>
      <c r="B143" s="552"/>
      <c r="C143" s="964"/>
      <c r="D143" s="964"/>
      <c r="E143" s="964"/>
      <c r="F143" s="964"/>
      <c r="G143" s="964"/>
      <c r="H143" s="964"/>
      <c r="I143" s="964"/>
      <c r="J143" s="964"/>
      <c r="K143" s="964"/>
      <c r="L143" s="964"/>
      <c r="M143" s="965"/>
    </row>
    <row r="144" spans="1:13" ht="15" customHeight="1">
      <c r="A144" s="601"/>
      <c r="B144" s="552" t="s">
        <v>429</v>
      </c>
      <c r="C144" s="584" t="s">
        <v>630</v>
      </c>
      <c r="D144" s="607"/>
      <c r="E144" s="552"/>
      <c r="F144" s="552"/>
      <c r="G144" s="552"/>
      <c r="H144" s="552"/>
      <c r="I144" s="552"/>
      <c r="J144" s="552"/>
      <c r="K144" s="552"/>
      <c r="L144" s="552"/>
      <c r="M144" s="583"/>
    </row>
    <row r="145" spans="1:13" ht="15" customHeight="1">
      <c r="A145" s="601"/>
      <c r="B145" s="552" t="s">
        <v>431</v>
      </c>
      <c r="C145" s="953" t="s">
        <v>631</v>
      </c>
      <c r="D145" s="953"/>
      <c r="E145" s="953"/>
      <c r="F145" s="953"/>
      <c r="G145" s="953"/>
      <c r="H145" s="953"/>
      <c r="I145" s="953"/>
      <c r="J145" s="953"/>
      <c r="K145" s="953"/>
      <c r="L145" s="953"/>
      <c r="M145" s="954"/>
    </row>
    <row r="146" spans="1:13" ht="15" customHeight="1">
      <c r="A146" s="601"/>
      <c r="B146" s="552"/>
      <c r="C146" s="953"/>
      <c r="D146" s="953"/>
      <c r="E146" s="953"/>
      <c r="F146" s="953"/>
      <c r="G146" s="953"/>
      <c r="H146" s="953"/>
      <c r="I146" s="953"/>
      <c r="J146" s="953"/>
      <c r="K146" s="953"/>
      <c r="L146" s="953"/>
      <c r="M146" s="954"/>
    </row>
    <row r="147" spans="1:13" ht="15" customHeight="1">
      <c r="A147" s="601"/>
      <c r="B147" s="552" t="s">
        <v>433</v>
      </c>
      <c r="C147" s="953" t="s">
        <v>632</v>
      </c>
      <c r="D147" s="953"/>
      <c r="E147" s="953"/>
      <c r="F147" s="953"/>
      <c r="G147" s="953"/>
      <c r="H147" s="953"/>
      <c r="I147" s="953"/>
      <c r="J147" s="953"/>
      <c r="K147" s="953"/>
      <c r="L147" s="953"/>
      <c r="M147" s="954"/>
    </row>
    <row r="148" spans="1:13" ht="15" customHeight="1">
      <c r="A148" s="601"/>
      <c r="B148" s="552"/>
      <c r="C148" s="953"/>
      <c r="D148" s="953"/>
      <c r="E148" s="953"/>
      <c r="F148" s="953"/>
      <c r="G148" s="953"/>
      <c r="H148" s="953"/>
      <c r="I148" s="953"/>
      <c r="J148" s="953"/>
      <c r="K148" s="953"/>
      <c r="L148" s="953"/>
      <c r="M148" s="954"/>
    </row>
    <row r="149" spans="1:13" ht="15" customHeight="1">
      <c r="A149" s="601"/>
      <c r="B149" s="552"/>
      <c r="C149" s="953"/>
      <c r="D149" s="953"/>
      <c r="E149" s="953"/>
      <c r="F149" s="953"/>
      <c r="G149" s="953"/>
      <c r="H149" s="953"/>
      <c r="I149" s="953"/>
      <c r="J149" s="953"/>
      <c r="K149" s="953"/>
      <c r="L149" s="953"/>
      <c r="M149" s="954"/>
    </row>
    <row r="150" spans="1:13" ht="15" customHeight="1">
      <c r="A150" s="601"/>
      <c r="B150" s="552" t="s">
        <v>496</v>
      </c>
      <c r="C150" s="953" t="s">
        <v>633</v>
      </c>
      <c r="D150" s="953"/>
      <c r="E150" s="953"/>
      <c r="F150" s="953"/>
      <c r="G150" s="953"/>
      <c r="H150" s="953"/>
      <c r="I150" s="953"/>
      <c r="J150" s="953"/>
      <c r="K150" s="953"/>
      <c r="L150" s="953"/>
      <c r="M150" s="954"/>
    </row>
    <row r="151" spans="1:13" ht="15" customHeight="1">
      <c r="A151" s="601"/>
      <c r="B151" s="552"/>
      <c r="C151" s="953"/>
      <c r="D151" s="953"/>
      <c r="E151" s="953"/>
      <c r="F151" s="953"/>
      <c r="G151" s="953"/>
      <c r="H151" s="953"/>
      <c r="I151" s="953"/>
      <c r="J151" s="953"/>
      <c r="K151" s="953"/>
      <c r="L151" s="953"/>
      <c r="M151" s="954"/>
    </row>
    <row r="152" spans="1:13" ht="15" customHeight="1">
      <c r="A152" s="601"/>
      <c r="B152" s="552" t="s">
        <v>498</v>
      </c>
      <c r="C152" s="953" t="s">
        <v>634</v>
      </c>
      <c r="D152" s="953"/>
      <c r="E152" s="953"/>
      <c r="F152" s="953"/>
      <c r="G152" s="953"/>
      <c r="H152" s="953"/>
      <c r="I152" s="953"/>
      <c r="J152" s="953"/>
      <c r="K152" s="953"/>
      <c r="L152" s="953"/>
      <c r="M152" s="954"/>
    </row>
    <row r="153" spans="1:13" ht="15" customHeight="1">
      <c r="A153" s="601"/>
      <c r="B153" s="552"/>
      <c r="C153" s="953"/>
      <c r="D153" s="953"/>
      <c r="E153" s="953"/>
      <c r="F153" s="953"/>
      <c r="G153" s="953"/>
      <c r="H153" s="953"/>
      <c r="I153" s="953"/>
      <c r="J153" s="953"/>
      <c r="K153" s="953"/>
      <c r="L153" s="953"/>
      <c r="M153" s="954"/>
    </row>
    <row r="154" spans="1:13" ht="15" customHeight="1">
      <c r="A154" s="601"/>
      <c r="B154" s="552"/>
      <c r="C154" s="607"/>
      <c r="D154" s="607"/>
      <c r="E154" s="552"/>
      <c r="F154" s="552"/>
      <c r="G154" s="552"/>
      <c r="H154" s="552"/>
      <c r="I154" s="552"/>
      <c r="J154" s="552"/>
      <c r="K154" s="552"/>
      <c r="L154" s="552"/>
      <c r="M154" s="583"/>
    </row>
    <row r="155" spans="1:13" ht="15" customHeight="1">
      <c r="A155" s="798" t="s">
        <v>435</v>
      </c>
      <c r="B155" s="552" t="s">
        <v>601</v>
      </c>
      <c r="C155" s="607"/>
      <c r="D155" s="607"/>
      <c r="E155" s="552"/>
      <c r="F155" s="552"/>
      <c r="G155" s="552"/>
      <c r="H155" s="552"/>
      <c r="I155" s="552"/>
      <c r="J155" s="552"/>
      <c r="K155" s="552"/>
      <c r="L155" s="552"/>
      <c r="M155" s="583"/>
    </row>
    <row r="156" spans="1:13" ht="15" customHeight="1">
      <c r="A156" s="601"/>
      <c r="B156" s="552" t="s">
        <v>427</v>
      </c>
      <c r="C156" s="953" t="s">
        <v>635</v>
      </c>
      <c r="D156" s="953"/>
      <c r="E156" s="953"/>
      <c r="F156" s="953"/>
      <c r="G156" s="953"/>
      <c r="H156" s="953"/>
      <c r="I156" s="953"/>
      <c r="J156" s="953"/>
      <c r="K156" s="953"/>
      <c r="L156" s="953"/>
      <c r="M156" s="954"/>
    </row>
    <row r="157" spans="1:13" ht="15" customHeight="1">
      <c r="A157" s="601"/>
      <c r="B157" s="552"/>
      <c r="C157" s="953"/>
      <c r="D157" s="953"/>
      <c r="E157" s="953"/>
      <c r="F157" s="953"/>
      <c r="G157" s="953"/>
      <c r="H157" s="953"/>
      <c r="I157" s="953"/>
      <c r="J157" s="953"/>
      <c r="K157" s="953"/>
      <c r="L157" s="953"/>
      <c r="M157" s="954"/>
    </row>
    <row r="158" spans="1:13" ht="15" customHeight="1">
      <c r="A158" s="601"/>
      <c r="B158" s="552" t="s">
        <v>429</v>
      </c>
      <c r="C158" s="953" t="str">
        <f>"Harga Kontrak sesuai dengan rincian yang tercantum dalam "&amp;Input!$E$14&amp;"."</f>
        <v>Harga Kontrak sesuai dengan rincian yang tercantum dalam Daftar Keluaran dan Harga.</v>
      </c>
      <c r="D158" s="953"/>
      <c r="E158" s="953"/>
      <c r="F158" s="953"/>
      <c r="G158" s="953"/>
      <c r="H158" s="953"/>
      <c r="I158" s="953"/>
      <c r="J158" s="953"/>
      <c r="K158" s="953"/>
      <c r="L158" s="953"/>
      <c r="M158" s="954"/>
    </row>
    <row r="159" spans="1:13" ht="15" customHeight="1">
      <c r="A159" s="601"/>
      <c r="B159" s="552"/>
      <c r="C159" s="607"/>
      <c r="D159" s="607"/>
      <c r="E159" s="552"/>
      <c r="F159" s="552"/>
      <c r="G159" s="552"/>
      <c r="H159" s="552"/>
      <c r="I159" s="552"/>
      <c r="J159" s="552"/>
      <c r="K159" s="552"/>
      <c r="L159" s="552"/>
      <c r="M159" s="583"/>
    </row>
    <row r="160" spans="1:13" ht="15" customHeight="1">
      <c r="A160" s="798" t="s">
        <v>441</v>
      </c>
      <c r="B160" s="552" t="s">
        <v>636</v>
      </c>
      <c r="C160" s="607"/>
      <c r="D160" s="607"/>
      <c r="E160" s="552"/>
      <c r="F160" s="552"/>
      <c r="G160" s="552"/>
      <c r="H160" s="552"/>
      <c r="I160" s="552"/>
      <c r="J160" s="552"/>
      <c r="K160" s="552"/>
      <c r="L160" s="552"/>
      <c r="M160" s="583"/>
    </row>
    <row r="161" spans="1:13" ht="15" customHeight="1">
      <c r="A161" s="601"/>
      <c r="B161" s="558" t="s">
        <v>437</v>
      </c>
      <c r="C161" s="953" t="s">
        <v>637</v>
      </c>
      <c r="D161" s="953"/>
      <c r="E161" s="953"/>
      <c r="F161" s="953"/>
      <c r="G161" s="953"/>
      <c r="H161" s="953"/>
      <c r="I161" s="953"/>
      <c r="J161" s="953"/>
      <c r="K161" s="953"/>
      <c r="L161" s="953"/>
      <c r="M161" s="954"/>
    </row>
    <row r="162" spans="1:13" ht="15" customHeight="1">
      <c r="A162" s="601"/>
      <c r="B162" s="558"/>
      <c r="C162" s="953"/>
      <c r="D162" s="953"/>
      <c r="E162" s="953"/>
      <c r="F162" s="953"/>
      <c r="G162" s="953"/>
      <c r="H162" s="953"/>
      <c r="I162" s="953"/>
      <c r="J162" s="953"/>
      <c r="K162" s="953"/>
      <c r="L162" s="953"/>
      <c r="M162" s="954"/>
    </row>
    <row r="163" spans="1:13" ht="15" customHeight="1">
      <c r="A163" s="601"/>
      <c r="B163" s="558" t="s">
        <v>439</v>
      </c>
      <c r="C163" s="953" t="s">
        <v>638</v>
      </c>
      <c r="D163" s="953"/>
      <c r="E163" s="953"/>
      <c r="F163" s="953"/>
      <c r="G163" s="953"/>
      <c r="H163" s="953"/>
      <c r="I163" s="953"/>
      <c r="J163" s="953"/>
      <c r="K163" s="953"/>
      <c r="L163" s="953"/>
      <c r="M163" s="954"/>
    </row>
    <row r="164" spans="1:13" ht="15" customHeight="1">
      <c r="A164" s="601"/>
      <c r="B164" s="558"/>
      <c r="C164" s="953"/>
      <c r="D164" s="953"/>
      <c r="E164" s="953"/>
      <c r="F164" s="953"/>
      <c r="G164" s="953"/>
      <c r="H164" s="953"/>
      <c r="I164" s="953"/>
      <c r="J164" s="953"/>
      <c r="K164" s="953"/>
      <c r="L164" s="953"/>
      <c r="M164" s="954"/>
    </row>
    <row r="165" spans="1:13" ht="15" customHeight="1">
      <c r="A165" s="601"/>
      <c r="B165" s="558" t="s">
        <v>431</v>
      </c>
      <c r="C165" s="953" t="s">
        <v>639</v>
      </c>
      <c r="D165" s="953"/>
      <c r="E165" s="953"/>
      <c r="F165" s="953"/>
      <c r="G165" s="953"/>
      <c r="H165" s="953"/>
      <c r="I165" s="953"/>
      <c r="J165" s="953"/>
      <c r="K165" s="953"/>
      <c r="L165" s="953"/>
      <c r="M165" s="954"/>
    </row>
    <row r="166" spans="1:13" ht="15" customHeight="1">
      <c r="A166" s="601"/>
      <c r="B166" s="558"/>
      <c r="C166" s="953"/>
      <c r="D166" s="953"/>
      <c r="E166" s="953"/>
      <c r="F166" s="953"/>
      <c r="G166" s="953"/>
      <c r="H166" s="953"/>
      <c r="I166" s="953"/>
      <c r="J166" s="953"/>
      <c r="K166" s="953"/>
      <c r="L166" s="953"/>
      <c r="M166" s="954"/>
    </row>
    <row r="167" spans="1:13" ht="15" customHeight="1">
      <c r="A167" s="601"/>
      <c r="B167" s="558"/>
      <c r="C167" s="953"/>
      <c r="D167" s="953"/>
      <c r="E167" s="953"/>
      <c r="F167" s="953"/>
      <c r="G167" s="953"/>
      <c r="H167" s="953"/>
      <c r="I167" s="953"/>
      <c r="J167" s="953"/>
      <c r="K167" s="953"/>
      <c r="L167" s="953"/>
      <c r="M167" s="954"/>
    </row>
    <row r="168" spans="1:13" ht="15" customHeight="1">
      <c r="A168" s="601"/>
      <c r="B168" s="558" t="s">
        <v>433</v>
      </c>
      <c r="C168" s="953" t="s">
        <v>640</v>
      </c>
      <c r="D168" s="953"/>
      <c r="E168" s="953"/>
      <c r="F168" s="953"/>
      <c r="G168" s="953"/>
      <c r="H168" s="953"/>
      <c r="I168" s="953"/>
      <c r="J168" s="953"/>
      <c r="K168" s="953"/>
      <c r="L168" s="953"/>
      <c r="M168" s="954"/>
    </row>
    <row r="169" spans="1:13" ht="15" customHeight="1">
      <c r="A169" s="601"/>
      <c r="B169" s="558"/>
      <c r="C169" s="953"/>
      <c r="D169" s="953"/>
      <c r="E169" s="953"/>
      <c r="F169" s="953"/>
      <c r="G169" s="953"/>
      <c r="H169" s="953"/>
      <c r="I169" s="953"/>
      <c r="J169" s="953"/>
      <c r="K169" s="953"/>
      <c r="L169" s="953"/>
      <c r="M169" s="954"/>
    </row>
    <row r="170" spans="1:13" ht="15" customHeight="1">
      <c r="A170" s="601"/>
      <c r="B170" s="558" t="s">
        <v>496</v>
      </c>
      <c r="C170" s="953" t="s">
        <v>641</v>
      </c>
      <c r="D170" s="953"/>
      <c r="E170" s="953"/>
      <c r="F170" s="953"/>
      <c r="G170" s="953"/>
      <c r="H170" s="953"/>
      <c r="I170" s="953"/>
      <c r="J170" s="953"/>
      <c r="K170" s="953"/>
      <c r="L170" s="953"/>
      <c r="M170" s="954"/>
    </row>
    <row r="171" spans="1:13" ht="15" customHeight="1">
      <c r="A171" s="601"/>
      <c r="B171" s="558"/>
      <c r="C171" s="953"/>
      <c r="D171" s="953"/>
      <c r="E171" s="953"/>
      <c r="F171" s="953"/>
      <c r="G171" s="953"/>
      <c r="H171" s="953"/>
      <c r="I171" s="953"/>
      <c r="J171" s="953"/>
      <c r="K171" s="953"/>
      <c r="L171" s="953"/>
      <c r="M171" s="954"/>
    </row>
    <row r="172" spans="1:13" ht="15" customHeight="1">
      <c r="A172" s="601"/>
      <c r="B172" s="558" t="s">
        <v>498</v>
      </c>
      <c r="C172" s="953" t="s">
        <v>642</v>
      </c>
      <c r="D172" s="953"/>
      <c r="E172" s="953"/>
      <c r="F172" s="953"/>
      <c r="G172" s="953"/>
      <c r="H172" s="953"/>
      <c r="I172" s="953"/>
      <c r="J172" s="953"/>
      <c r="K172" s="953"/>
      <c r="L172" s="953"/>
      <c r="M172" s="954"/>
    </row>
    <row r="173" spans="1:13" ht="15" customHeight="1">
      <c r="A173" s="601"/>
      <c r="B173" s="558"/>
      <c r="C173" s="953"/>
      <c r="D173" s="953"/>
      <c r="E173" s="953"/>
      <c r="F173" s="953"/>
      <c r="G173" s="953"/>
      <c r="H173" s="953"/>
      <c r="I173" s="953"/>
      <c r="J173" s="953"/>
      <c r="K173" s="953"/>
      <c r="L173" s="953"/>
      <c r="M173" s="954"/>
    </row>
    <row r="174" spans="1:13" ht="15" customHeight="1">
      <c r="A174" s="601"/>
      <c r="B174" s="558"/>
      <c r="C174" s="953"/>
      <c r="D174" s="953"/>
      <c r="E174" s="953"/>
      <c r="F174" s="953"/>
      <c r="G174" s="953"/>
      <c r="H174" s="953"/>
      <c r="I174" s="953"/>
      <c r="J174" s="953"/>
      <c r="K174" s="953"/>
      <c r="L174" s="953"/>
      <c r="M174" s="954"/>
    </row>
    <row r="175" spans="1:13" ht="15" customHeight="1">
      <c r="A175" s="601"/>
      <c r="B175" s="558" t="s">
        <v>598</v>
      </c>
      <c r="C175" s="953" t="s">
        <v>643</v>
      </c>
      <c r="D175" s="953"/>
      <c r="E175" s="953"/>
      <c r="F175" s="953"/>
      <c r="G175" s="953"/>
      <c r="H175" s="953"/>
      <c r="I175" s="953"/>
      <c r="J175" s="953"/>
      <c r="K175" s="953"/>
      <c r="L175" s="953"/>
      <c r="M175" s="954"/>
    </row>
    <row r="176" spans="1:13" ht="15" customHeight="1">
      <c r="A176" s="601"/>
      <c r="B176" s="558"/>
      <c r="C176" s="953"/>
      <c r="D176" s="953"/>
      <c r="E176" s="953"/>
      <c r="F176" s="953"/>
      <c r="G176" s="953"/>
      <c r="H176" s="953"/>
      <c r="I176" s="953"/>
      <c r="J176" s="953"/>
      <c r="K176" s="953"/>
      <c r="L176" s="953"/>
      <c r="M176" s="954"/>
    </row>
    <row r="177" spans="1:13" ht="15" customHeight="1">
      <c r="A177" s="608"/>
      <c r="B177" s="560"/>
      <c r="C177" s="966"/>
      <c r="D177" s="966"/>
      <c r="E177" s="966"/>
      <c r="F177" s="966"/>
      <c r="G177" s="966"/>
      <c r="H177" s="966"/>
      <c r="I177" s="966"/>
      <c r="J177" s="966"/>
      <c r="K177" s="966"/>
      <c r="L177" s="966"/>
      <c r="M177" s="967"/>
    </row>
    <row r="178" spans="1:13" ht="15" customHeight="1">
      <c r="A178" s="600"/>
      <c r="B178" s="550"/>
      <c r="C178" s="609"/>
      <c r="D178" s="609"/>
      <c r="E178" s="550"/>
      <c r="F178" s="550"/>
      <c r="G178" s="550"/>
      <c r="H178" s="550"/>
      <c r="I178" s="550"/>
      <c r="J178" s="550"/>
      <c r="K178" s="550"/>
      <c r="L178" s="550"/>
      <c r="M178" s="581"/>
    </row>
    <row r="179" spans="1:13" ht="15" customHeight="1">
      <c r="A179" s="798" t="s">
        <v>444</v>
      </c>
      <c r="B179" s="552" t="s">
        <v>644</v>
      </c>
      <c r="C179" s="607"/>
      <c r="D179" s="607"/>
      <c r="E179" s="552"/>
      <c r="F179" s="552"/>
      <c r="G179" s="552"/>
      <c r="H179" s="552"/>
      <c r="I179" s="552"/>
      <c r="J179" s="552"/>
      <c r="K179" s="552"/>
      <c r="L179" s="552"/>
      <c r="M179" s="583"/>
    </row>
    <row r="180" spans="1:13" ht="15" customHeight="1">
      <c r="A180" s="601"/>
      <c r="B180" s="558" t="s">
        <v>437</v>
      </c>
      <c r="C180" s="953" t="s">
        <v>645</v>
      </c>
      <c r="D180" s="953"/>
      <c r="E180" s="953"/>
      <c r="F180" s="953"/>
      <c r="G180" s="953"/>
      <c r="H180" s="953"/>
      <c r="I180" s="953"/>
      <c r="J180" s="953"/>
      <c r="K180" s="953"/>
      <c r="L180" s="953"/>
      <c r="M180" s="954"/>
    </row>
    <row r="181" spans="1:13" ht="15" customHeight="1">
      <c r="A181" s="601"/>
      <c r="B181" s="558"/>
      <c r="C181" s="953"/>
      <c r="D181" s="953"/>
      <c r="E181" s="953"/>
      <c r="F181" s="953"/>
      <c r="G181" s="953"/>
      <c r="H181" s="953"/>
      <c r="I181" s="953"/>
      <c r="J181" s="953"/>
      <c r="K181" s="953"/>
      <c r="L181" s="953"/>
      <c r="M181" s="954"/>
    </row>
    <row r="182" spans="1:13" ht="15" customHeight="1">
      <c r="A182" s="601"/>
      <c r="B182" s="558" t="s">
        <v>439</v>
      </c>
      <c r="C182" s="953" t="s">
        <v>646</v>
      </c>
      <c r="D182" s="953"/>
      <c r="E182" s="953"/>
      <c r="F182" s="953"/>
      <c r="G182" s="953"/>
      <c r="H182" s="953"/>
      <c r="I182" s="953"/>
      <c r="J182" s="953"/>
      <c r="K182" s="953"/>
      <c r="L182" s="953"/>
      <c r="M182" s="954"/>
    </row>
    <row r="183" spans="1:13" ht="15" customHeight="1">
      <c r="A183" s="601"/>
      <c r="B183" s="558"/>
      <c r="C183" s="953"/>
      <c r="D183" s="953"/>
      <c r="E183" s="953"/>
      <c r="F183" s="953"/>
      <c r="G183" s="953"/>
      <c r="H183" s="953"/>
      <c r="I183" s="953"/>
      <c r="J183" s="953"/>
      <c r="K183" s="953"/>
      <c r="L183" s="953"/>
      <c r="M183" s="954"/>
    </row>
    <row r="184" spans="1:13" ht="15" customHeight="1">
      <c r="A184" s="601"/>
      <c r="B184" s="558" t="s">
        <v>431</v>
      </c>
      <c r="C184" s="953" t="s">
        <v>647</v>
      </c>
      <c r="D184" s="953"/>
      <c r="E184" s="953"/>
      <c r="F184" s="953"/>
      <c r="G184" s="953"/>
      <c r="H184" s="953"/>
      <c r="I184" s="953"/>
      <c r="J184" s="953"/>
      <c r="K184" s="953"/>
      <c r="L184" s="953"/>
      <c r="M184" s="954"/>
    </row>
    <row r="185" spans="1:13" ht="15" customHeight="1">
      <c r="A185" s="601"/>
      <c r="B185" s="558" t="s">
        <v>433</v>
      </c>
      <c r="C185" s="953" t="s">
        <v>648</v>
      </c>
      <c r="D185" s="953"/>
      <c r="E185" s="953"/>
      <c r="F185" s="953"/>
      <c r="G185" s="953"/>
      <c r="H185" s="953"/>
      <c r="I185" s="953"/>
      <c r="J185" s="953"/>
      <c r="K185" s="953"/>
      <c r="L185" s="953"/>
      <c r="M185" s="954"/>
    </row>
    <row r="186" spans="1:13" ht="15" customHeight="1">
      <c r="A186" s="601"/>
      <c r="B186" s="558"/>
      <c r="C186" s="953"/>
      <c r="D186" s="953"/>
      <c r="E186" s="953"/>
      <c r="F186" s="953"/>
      <c r="G186" s="953"/>
      <c r="H186" s="953"/>
      <c r="I186" s="953"/>
      <c r="J186" s="953"/>
      <c r="K186" s="953"/>
      <c r="L186" s="953"/>
      <c r="M186" s="954"/>
    </row>
    <row r="187" spans="1:13" ht="15" customHeight="1">
      <c r="A187" s="601"/>
      <c r="B187" s="558" t="s">
        <v>496</v>
      </c>
      <c r="C187" s="953" t="s">
        <v>649</v>
      </c>
      <c r="D187" s="953"/>
      <c r="E187" s="953"/>
      <c r="F187" s="953"/>
      <c r="G187" s="953"/>
      <c r="H187" s="953"/>
      <c r="I187" s="953"/>
      <c r="J187" s="953"/>
      <c r="K187" s="953"/>
      <c r="L187" s="953"/>
      <c r="M187" s="954"/>
    </row>
    <row r="188" spans="1:13" ht="15" customHeight="1">
      <c r="A188" s="601"/>
      <c r="B188" s="558"/>
      <c r="C188" s="953"/>
      <c r="D188" s="953"/>
      <c r="E188" s="953"/>
      <c r="F188" s="953"/>
      <c r="G188" s="953"/>
      <c r="H188" s="953"/>
      <c r="I188" s="953"/>
      <c r="J188" s="953"/>
      <c r="K188" s="953"/>
      <c r="L188" s="953"/>
      <c r="M188" s="954"/>
    </row>
    <row r="189" spans="1:13" ht="15" customHeight="1">
      <c r="A189" s="601"/>
      <c r="B189" s="558"/>
      <c r="C189" s="953"/>
      <c r="D189" s="953"/>
      <c r="E189" s="953"/>
      <c r="F189" s="953"/>
      <c r="G189" s="953"/>
      <c r="H189" s="953"/>
      <c r="I189" s="953"/>
      <c r="J189" s="953"/>
      <c r="K189" s="953"/>
      <c r="L189" s="953"/>
      <c r="M189" s="954"/>
    </row>
    <row r="190" spans="1:13" ht="15" customHeight="1">
      <c r="A190" s="601"/>
      <c r="B190" s="558"/>
      <c r="C190" s="953"/>
      <c r="D190" s="953"/>
      <c r="E190" s="953"/>
      <c r="F190" s="953"/>
      <c r="G190" s="953"/>
      <c r="H190" s="953"/>
      <c r="I190" s="953"/>
      <c r="J190" s="953"/>
      <c r="K190" s="953"/>
      <c r="L190" s="953"/>
      <c r="M190" s="954"/>
    </row>
    <row r="191" spans="1:13" ht="15" customHeight="1">
      <c r="A191" s="601"/>
      <c r="B191" s="558" t="s">
        <v>498</v>
      </c>
      <c r="C191" s="953" t="s">
        <v>650</v>
      </c>
      <c r="D191" s="953"/>
      <c r="E191" s="953"/>
      <c r="F191" s="953"/>
      <c r="G191" s="953"/>
      <c r="H191" s="953"/>
      <c r="I191" s="953"/>
      <c r="J191" s="953"/>
      <c r="K191" s="953"/>
      <c r="L191" s="953"/>
      <c r="M191" s="954"/>
    </row>
    <row r="192" spans="1:13" ht="15" customHeight="1">
      <c r="A192" s="601"/>
      <c r="B192" s="558"/>
      <c r="C192" s="953"/>
      <c r="D192" s="953"/>
      <c r="E192" s="953"/>
      <c r="F192" s="953"/>
      <c r="G192" s="953"/>
      <c r="H192" s="953"/>
      <c r="I192" s="953"/>
      <c r="J192" s="953"/>
      <c r="K192" s="953"/>
      <c r="L192" s="953"/>
      <c r="M192" s="954"/>
    </row>
    <row r="193" spans="1:13" ht="15" customHeight="1">
      <c r="A193" s="601"/>
      <c r="B193" s="558" t="s">
        <v>598</v>
      </c>
      <c r="C193" s="953" t="s">
        <v>651</v>
      </c>
      <c r="D193" s="953"/>
      <c r="E193" s="953"/>
      <c r="F193" s="953"/>
      <c r="G193" s="953"/>
      <c r="H193" s="953"/>
      <c r="I193" s="953"/>
      <c r="J193" s="953"/>
      <c r="K193" s="953"/>
      <c r="L193" s="953"/>
      <c r="M193" s="954"/>
    </row>
    <row r="194" spans="1:13" ht="15" customHeight="1">
      <c r="A194" s="601"/>
      <c r="B194" s="558"/>
      <c r="C194" s="953"/>
      <c r="D194" s="953"/>
      <c r="E194" s="953"/>
      <c r="F194" s="953"/>
      <c r="G194" s="953"/>
      <c r="H194" s="953"/>
      <c r="I194" s="953"/>
      <c r="J194" s="953"/>
      <c r="K194" s="953"/>
      <c r="L194" s="953"/>
      <c r="M194" s="954"/>
    </row>
    <row r="195" spans="1:13" ht="15" customHeight="1">
      <c r="A195" s="601"/>
      <c r="B195" s="558"/>
      <c r="C195" s="953"/>
      <c r="D195" s="953"/>
      <c r="E195" s="953"/>
      <c r="F195" s="953"/>
      <c r="G195" s="953"/>
      <c r="H195" s="953"/>
      <c r="I195" s="953"/>
      <c r="J195" s="953"/>
      <c r="K195" s="953"/>
      <c r="L195" s="953"/>
      <c r="M195" s="954"/>
    </row>
    <row r="196" spans="1:13" ht="15" customHeight="1">
      <c r="A196" s="601"/>
      <c r="B196" s="558"/>
      <c r="C196" s="953"/>
      <c r="D196" s="953"/>
      <c r="E196" s="953"/>
      <c r="F196" s="953"/>
      <c r="G196" s="953"/>
      <c r="H196" s="953"/>
      <c r="I196" s="953"/>
      <c r="J196" s="953"/>
      <c r="K196" s="953"/>
      <c r="L196" s="953"/>
      <c r="M196" s="954"/>
    </row>
    <row r="197" spans="1:13" ht="15" customHeight="1">
      <c r="A197" s="601"/>
      <c r="B197" s="558" t="s">
        <v>599</v>
      </c>
      <c r="C197" s="953" t="s">
        <v>652</v>
      </c>
      <c r="D197" s="953"/>
      <c r="E197" s="953"/>
      <c r="F197" s="953"/>
      <c r="G197" s="953"/>
      <c r="H197" s="953"/>
      <c r="I197" s="953"/>
      <c r="J197" s="953"/>
      <c r="K197" s="953"/>
      <c r="L197" s="953"/>
      <c r="M197" s="954"/>
    </row>
    <row r="198" spans="1:13" ht="15" customHeight="1">
      <c r="A198" s="601"/>
      <c r="B198" s="558"/>
      <c r="C198" s="953"/>
      <c r="D198" s="953"/>
      <c r="E198" s="953"/>
      <c r="F198" s="953"/>
      <c r="G198" s="953"/>
      <c r="H198" s="953"/>
      <c r="I198" s="953"/>
      <c r="J198" s="953"/>
      <c r="K198" s="953"/>
      <c r="L198" s="953"/>
      <c r="M198" s="954"/>
    </row>
    <row r="199" spans="1:13" ht="15" customHeight="1">
      <c r="A199" s="601"/>
      <c r="B199" s="552"/>
      <c r="C199" s="607"/>
      <c r="D199" s="607"/>
      <c r="E199" s="552"/>
      <c r="F199" s="552"/>
      <c r="G199" s="552"/>
      <c r="H199" s="552"/>
      <c r="I199" s="552"/>
      <c r="J199" s="552"/>
      <c r="K199" s="552"/>
      <c r="L199" s="552"/>
      <c r="M199" s="583"/>
    </row>
    <row r="200" spans="1:13" ht="15" customHeight="1">
      <c r="A200" s="798" t="s">
        <v>447</v>
      </c>
      <c r="B200" s="552" t="s">
        <v>653</v>
      </c>
      <c r="C200" s="607"/>
      <c r="D200" s="607"/>
      <c r="E200" s="552"/>
      <c r="F200" s="552"/>
      <c r="G200" s="552"/>
      <c r="H200" s="552"/>
      <c r="I200" s="552"/>
      <c r="J200" s="552"/>
      <c r="K200" s="552"/>
      <c r="L200" s="552"/>
      <c r="M200" s="583"/>
    </row>
    <row r="201" spans="1:13" ht="15" customHeight="1">
      <c r="A201" s="601"/>
      <c r="B201" s="558" t="s">
        <v>437</v>
      </c>
      <c r="C201" s="953" t="s">
        <v>654</v>
      </c>
      <c r="D201" s="953"/>
      <c r="E201" s="953"/>
      <c r="F201" s="953"/>
      <c r="G201" s="953"/>
      <c r="H201" s="953"/>
      <c r="I201" s="953"/>
      <c r="J201" s="953"/>
      <c r="K201" s="953"/>
      <c r="L201" s="953"/>
      <c r="M201" s="954"/>
    </row>
    <row r="202" spans="1:13" ht="15" customHeight="1">
      <c r="A202" s="601"/>
      <c r="B202" s="558" t="s">
        <v>439</v>
      </c>
      <c r="C202" s="953" t="s">
        <v>655</v>
      </c>
      <c r="D202" s="953"/>
      <c r="E202" s="953"/>
      <c r="F202" s="953"/>
      <c r="G202" s="953"/>
      <c r="H202" s="953"/>
      <c r="I202" s="953"/>
      <c r="J202" s="953"/>
      <c r="K202" s="953"/>
      <c r="L202" s="953"/>
      <c r="M202" s="954"/>
    </row>
    <row r="203" spans="1:13" ht="15" customHeight="1">
      <c r="A203" s="601"/>
      <c r="B203" s="558"/>
      <c r="C203" s="953"/>
      <c r="D203" s="953"/>
      <c r="E203" s="953"/>
      <c r="F203" s="953"/>
      <c r="G203" s="953"/>
      <c r="H203" s="953"/>
      <c r="I203" s="953"/>
      <c r="J203" s="953"/>
      <c r="K203" s="953"/>
      <c r="L203" s="953"/>
      <c r="M203" s="954"/>
    </row>
    <row r="204" spans="1:13" ht="15" customHeight="1">
      <c r="A204" s="601"/>
      <c r="B204" s="558" t="s">
        <v>431</v>
      </c>
      <c r="C204" s="953" t="s">
        <v>656</v>
      </c>
      <c r="D204" s="953"/>
      <c r="E204" s="953"/>
      <c r="F204" s="953"/>
      <c r="G204" s="953"/>
      <c r="H204" s="953"/>
      <c r="I204" s="953"/>
      <c r="J204" s="953"/>
      <c r="K204" s="953"/>
      <c r="L204" s="953"/>
      <c r="M204" s="954"/>
    </row>
    <row r="205" spans="1:13" ht="15" customHeight="1">
      <c r="A205" s="601"/>
      <c r="B205" s="558"/>
      <c r="C205" s="953"/>
      <c r="D205" s="953"/>
      <c r="E205" s="953"/>
      <c r="F205" s="953"/>
      <c r="G205" s="953"/>
      <c r="H205" s="953"/>
      <c r="I205" s="953"/>
      <c r="J205" s="953"/>
      <c r="K205" s="953"/>
      <c r="L205" s="953"/>
      <c r="M205" s="954"/>
    </row>
    <row r="206" spans="1:13" ht="15" customHeight="1">
      <c r="A206" s="601"/>
      <c r="B206" s="558" t="s">
        <v>433</v>
      </c>
      <c r="C206" s="953" t="s">
        <v>657</v>
      </c>
      <c r="D206" s="953"/>
      <c r="E206" s="953"/>
      <c r="F206" s="953"/>
      <c r="G206" s="953"/>
      <c r="H206" s="953"/>
      <c r="I206" s="953"/>
      <c r="J206" s="953"/>
      <c r="K206" s="953"/>
      <c r="L206" s="953"/>
      <c r="M206" s="954"/>
    </row>
    <row r="207" spans="1:13" ht="15" customHeight="1">
      <c r="A207" s="601"/>
      <c r="B207" s="558"/>
      <c r="C207" s="953"/>
      <c r="D207" s="953"/>
      <c r="E207" s="953"/>
      <c r="F207" s="953"/>
      <c r="G207" s="953"/>
      <c r="H207" s="953"/>
      <c r="I207" s="953"/>
      <c r="J207" s="953"/>
      <c r="K207" s="953"/>
      <c r="L207" s="953"/>
      <c r="M207" s="954"/>
    </row>
    <row r="208" spans="1:13" ht="15" customHeight="1">
      <c r="A208" s="601"/>
      <c r="B208" s="558" t="s">
        <v>496</v>
      </c>
      <c r="C208" s="953" t="s">
        <v>658</v>
      </c>
      <c r="D208" s="953"/>
      <c r="E208" s="953"/>
      <c r="F208" s="953"/>
      <c r="G208" s="953"/>
      <c r="H208" s="953"/>
      <c r="I208" s="953"/>
      <c r="J208" s="953"/>
      <c r="K208" s="953"/>
      <c r="L208" s="953"/>
      <c r="M208" s="954"/>
    </row>
    <row r="209" spans="1:13" ht="15" customHeight="1">
      <c r="A209" s="601"/>
      <c r="B209" s="558"/>
      <c r="C209" s="953"/>
      <c r="D209" s="953"/>
      <c r="E209" s="953"/>
      <c r="F209" s="953"/>
      <c r="G209" s="953"/>
      <c r="H209" s="953"/>
      <c r="I209" s="953"/>
      <c r="J209" s="953"/>
      <c r="K209" s="953"/>
      <c r="L209" s="953"/>
      <c r="M209" s="954"/>
    </row>
    <row r="210" spans="1:13" ht="15" customHeight="1">
      <c r="A210" s="601"/>
      <c r="B210" s="558" t="s">
        <v>498</v>
      </c>
      <c r="C210" s="953" t="s">
        <v>659</v>
      </c>
      <c r="D210" s="953"/>
      <c r="E210" s="953"/>
      <c r="F210" s="953"/>
      <c r="G210" s="953"/>
      <c r="H210" s="953"/>
      <c r="I210" s="953"/>
      <c r="J210" s="953"/>
      <c r="K210" s="953"/>
      <c r="L210" s="953"/>
      <c r="M210" s="954"/>
    </row>
    <row r="211" spans="1:13" ht="15" customHeight="1">
      <c r="A211" s="601"/>
      <c r="B211" s="552"/>
      <c r="C211" s="607"/>
      <c r="D211" s="607"/>
      <c r="E211" s="552"/>
      <c r="F211" s="552"/>
      <c r="G211" s="552"/>
      <c r="H211" s="552"/>
      <c r="I211" s="552"/>
      <c r="J211" s="552"/>
      <c r="K211" s="552"/>
      <c r="L211" s="552"/>
      <c r="M211" s="583"/>
    </row>
    <row r="212" spans="1:13" ht="15" customHeight="1">
      <c r="A212" s="798" t="s">
        <v>450</v>
      </c>
      <c r="B212" s="552" t="s">
        <v>588</v>
      </c>
      <c r="C212" s="607"/>
      <c r="D212" s="607"/>
      <c r="E212" s="552"/>
      <c r="F212" s="552"/>
      <c r="G212" s="552"/>
      <c r="H212" s="552"/>
      <c r="I212" s="552"/>
      <c r="J212" s="552"/>
      <c r="K212" s="552"/>
      <c r="L212" s="552"/>
      <c r="M212" s="583"/>
    </row>
    <row r="213" spans="1:13" ht="15" customHeight="1">
      <c r="A213" s="601"/>
      <c r="B213" s="558" t="s">
        <v>437</v>
      </c>
      <c r="C213" s="953" t="s">
        <v>660</v>
      </c>
      <c r="D213" s="953"/>
      <c r="E213" s="953"/>
      <c r="F213" s="953"/>
      <c r="G213" s="953"/>
      <c r="H213" s="953"/>
      <c r="I213" s="953"/>
      <c r="J213" s="953"/>
      <c r="K213" s="953"/>
      <c r="L213" s="953"/>
      <c r="M213" s="954"/>
    </row>
    <row r="214" spans="1:13" ht="15" customHeight="1">
      <c r="A214" s="601"/>
      <c r="B214" s="558"/>
      <c r="C214" s="953"/>
      <c r="D214" s="953"/>
      <c r="E214" s="953"/>
      <c r="F214" s="953"/>
      <c r="G214" s="953"/>
      <c r="H214" s="953"/>
      <c r="I214" s="953"/>
      <c r="J214" s="953"/>
      <c r="K214" s="953"/>
      <c r="L214" s="953"/>
      <c r="M214" s="954"/>
    </row>
    <row r="215" spans="1:13" ht="15" customHeight="1">
      <c r="A215" s="601"/>
      <c r="B215" s="558"/>
      <c r="C215" s="953"/>
      <c r="D215" s="953"/>
      <c r="E215" s="953"/>
      <c r="F215" s="953"/>
      <c r="G215" s="953"/>
      <c r="H215" s="953"/>
      <c r="I215" s="953"/>
      <c r="J215" s="953"/>
      <c r="K215" s="953"/>
      <c r="L215" s="953"/>
      <c r="M215" s="954"/>
    </row>
    <row r="216" spans="1:13" ht="15" customHeight="1">
      <c r="A216" s="601"/>
      <c r="B216" s="558" t="s">
        <v>439</v>
      </c>
      <c r="C216" s="953" t="s">
        <v>661</v>
      </c>
      <c r="D216" s="953"/>
      <c r="E216" s="953"/>
      <c r="F216" s="953"/>
      <c r="G216" s="953"/>
      <c r="H216" s="953"/>
      <c r="I216" s="953"/>
      <c r="J216" s="953"/>
      <c r="K216" s="953"/>
      <c r="L216" s="953"/>
      <c r="M216" s="954"/>
    </row>
    <row r="217" spans="1:13" ht="15" customHeight="1">
      <c r="A217" s="601"/>
      <c r="B217" s="558"/>
      <c r="C217" s="953"/>
      <c r="D217" s="953"/>
      <c r="E217" s="953"/>
      <c r="F217" s="953"/>
      <c r="G217" s="953"/>
      <c r="H217" s="953"/>
      <c r="I217" s="953"/>
      <c r="J217" s="953"/>
      <c r="K217" s="953"/>
      <c r="L217" s="953"/>
      <c r="M217" s="954"/>
    </row>
    <row r="218" spans="1:13" ht="15" customHeight="1">
      <c r="A218" s="601"/>
      <c r="B218" s="558"/>
      <c r="C218" s="558"/>
      <c r="D218" s="558"/>
      <c r="E218" s="558"/>
      <c r="F218" s="558"/>
      <c r="G218" s="558"/>
      <c r="H218" s="558"/>
      <c r="I218" s="558"/>
      <c r="J218" s="558"/>
      <c r="K218" s="558"/>
      <c r="L218" s="558"/>
      <c r="M218" s="589"/>
    </row>
    <row r="219" spans="1:13" ht="15" customHeight="1">
      <c r="A219" s="798" t="s">
        <v>456</v>
      </c>
      <c r="B219" s="552" t="s">
        <v>445</v>
      </c>
      <c r="C219" s="607"/>
      <c r="D219" s="607"/>
      <c r="E219" s="552"/>
      <c r="F219" s="552"/>
      <c r="G219" s="552"/>
      <c r="H219" s="552"/>
      <c r="I219" s="552"/>
      <c r="J219" s="552"/>
      <c r="K219" s="552"/>
      <c r="L219" s="552"/>
      <c r="M219" s="583"/>
    </row>
    <row r="220" spans="1:13" ht="15" customHeight="1">
      <c r="A220" s="601"/>
      <c r="B220" s="953" t="s">
        <v>662</v>
      </c>
      <c r="C220" s="953"/>
      <c r="D220" s="953"/>
      <c r="E220" s="953"/>
      <c r="F220" s="953"/>
      <c r="G220" s="953"/>
      <c r="H220" s="953"/>
      <c r="I220" s="953"/>
      <c r="J220" s="953"/>
      <c r="K220" s="953"/>
      <c r="L220" s="953"/>
      <c r="M220" s="954"/>
    </row>
    <row r="221" spans="1:13" ht="15" customHeight="1">
      <c r="A221" s="601"/>
      <c r="B221" s="953"/>
      <c r="C221" s="953"/>
      <c r="D221" s="953"/>
      <c r="E221" s="953"/>
      <c r="F221" s="953"/>
      <c r="G221" s="953"/>
      <c r="H221" s="953"/>
      <c r="I221" s="953"/>
      <c r="J221" s="953"/>
      <c r="K221" s="953"/>
      <c r="L221" s="953"/>
      <c r="M221" s="954"/>
    </row>
    <row r="222" spans="1:13" ht="15" customHeight="1">
      <c r="A222" s="601"/>
      <c r="B222" s="953"/>
      <c r="C222" s="953"/>
      <c r="D222" s="953"/>
      <c r="E222" s="953"/>
      <c r="F222" s="953"/>
      <c r="G222" s="953"/>
      <c r="H222" s="953"/>
      <c r="I222" s="953"/>
      <c r="J222" s="953"/>
      <c r="K222" s="953"/>
      <c r="L222" s="953"/>
      <c r="M222" s="954"/>
    </row>
    <row r="223" spans="1:13" ht="15" customHeight="1">
      <c r="A223" s="601"/>
      <c r="B223" s="552"/>
      <c r="C223" s="607"/>
      <c r="D223" s="607"/>
      <c r="E223" s="552"/>
      <c r="F223" s="552"/>
      <c r="G223" s="552"/>
      <c r="H223" s="552"/>
      <c r="I223" s="552"/>
      <c r="J223" s="552"/>
      <c r="K223" s="552"/>
      <c r="L223" s="552"/>
      <c r="M223" s="583"/>
    </row>
    <row r="224" spans="1:13" ht="15" customHeight="1">
      <c r="A224" s="798" t="s">
        <v>464</v>
      </c>
      <c r="B224" s="552" t="s">
        <v>448</v>
      </c>
      <c r="C224" s="607"/>
      <c r="D224" s="607"/>
      <c r="E224" s="552"/>
      <c r="F224" s="552"/>
      <c r="G224" s="552"/>
      <c r="H224" s="552"/>
      <c r="I224" s="552"/>
      <c r="J224" s="552"/>
      <c r="K224" s="552"/>
      <c r="L224" s="552"/>
      <c r="M224" s="583"/>
    </row>
    <row r="225" spans="1:13" ht="15" customHeight="1">
      <c r="A225" s="601"/>
      <c r="B225" s="558" t="s">
        <v>437</v>
      </c>
      <c r="C225" s="953" t="s">
        <v>663</v>
      </c>
      <c r="D225" s="953"/>
      <c r="E225" s="953"/>
      <c r="F225" s="953"/>
      <c r="G225" s="953"/>
      <c r="H225" s="953"/>
      <c r="I225" s="953"/>
      <c r="J225" s="953"/>
      <c r="K225" s="953"/>
      <c r="L225" s="953"/>
      <c r="M225" s="954"/>
    </row>
    <row r="226" spans="1:13" ht="15" customHeight="1">
      <c r="A226" s="601"/>
      <c r="B226" s="558"/>
      <c r="C226" s="953"/>
      <c r="D226" s="953"/>
      <c r="E226" s="953"/>
      <c r="F226" s="953"/>
      <c r="G226" s="953"/>
      <c r="H226" s="953"/>
      <c r="I226" s="953"/>
      <c r="J226" s="953"/>
      <c r="K226" s="953"/>
      <c r="L226" s="953"/>
      <c r="M226" s="954"/>
    </row>
    <row r="227" spans="1:13" ht="15" customHeight="1">
      <c r="A227" s="608"/>
      <c r="B227" s="560"/>
      <c r="C227" s="966"/>
      <c r="D227" s="966"/>
      <c r="E227" s="966"/>
      <c r="F227" s="966"/>
      <c r="G227" s="966"/>
      <c r="H227" s="966"/>
      <c r="I227" s="966"/>
      <c r="J227" s="966"/>
      <c r="K227" s="966"/>
      <c r="L227" s="966"/>
      <c r="M227" s="967"/>
    </row>
    <row r="228" spans="1:13" ht="15" customHeight="1">
      <c r="A228" s="600"/>
      <c r="B228" s="570" t="s">
        <v>439</v>
      </c>
      <c r="C228" s="968" t="s">
        <v>664</v>
      </c>
      <c r="D228" s="968"/>
      <c r="E228" s="968"/>
      <c r="F228" s="968"/>
      <c r="G228" s="968"/>
      <c r="H228" s="968"/>
      <c r="I228" s="968"/>
      <c r="J228" s="968"/>
      <c r="K228" s="968"/>
      <c r="L228" s="968"/>
      <c r="M228" s="969"/>
    </row>
    <row r="229" spans="1:13" ht="15" customHeight="1">
      <c r="A229" s="601"/>
      <c r="B229" s="558"/>
      <c r="C229" s="953"/>
      <c r="D229" s="953"/>
      <c r="E229" s="953"/>
      <c r="F229" s="953"/>
      <c r="G229" s="953"/>
      <c r="H229" s="953"/>
      <c r="I229" s="953"/>
      <c r="J229" s="953"/>
      <c r="K229" s="953"/>
      <c r="L229" s="953"/>
      <c r="M229" s="954"/>
    </row>
    <row r="230" spans="1:13" ht="15" customHeight="1">
      <c r="A230" s="601"/>
      <c r="B230" s="552"/>
      <c r="C230" s="607"/>
      <c r="D230" s="607"/>
      <c r="E230" s="552"/>
      <c r="F230" s="552"/>
      <c r="G230" s="552"/>
      <c r="H230" s="552"/>
      <c r="I230" s="552"/>
      <c r="J230" s="552"/>
      <c r="K230" s="552"/>
      <c r="L230" s="552"/>
      <c r="M230" s="583"/>
    </row>
    <row r="231" spans="1:13" ht="15" customHeight="1">
      <c r="A231" s="798" t="s">
        <v>474</v>
      </c>
      <c r="B231" s="552" t="s">
        <v>665</v>
      </c>
      <c r="C231" s="607"/>
      <c r="D231" s="607"/>
      <c r="E231" s="552"/>
      <c r="F231" s="552"/>
      <c r="G231" s="552"/>
      <c r="H231" s="552"/>
      <c r="I231" s="552"/>
      <c r="J231" s="552"/>
      <c r="K231" s="552"/>
      <c r="L231" s="552"/>
      <c r="M231" s="583"/>
    </row>
    <row r="232" spans="1:13" ht="15" customHeight="1">
      <c r="A232" s="601"/>
      <c r="B232" s="558" t="s">
        <v>437</v>
      </c>
      <c r="C232" s="953" t="s">
        <v>666</v>
      </c>
      <c r="D232" s="953"/>
      <c r="E232" s="953"/>
      <c r="F232" s="953"/>
      <c r="G232" s="953"/>
      <c r="H232" s="953"/>
      <c r="I232" s="953"/>
      <c r="J232" s="953"/>
      <c r="K232" s="953"/>
      <c r="L232" s="953"/>
      <c r="M232" s="954"/>
    </row>
    <row r="233" spans="1:13" ht="15" customHeight="1">
      <c r="A233" s="601"/>
      <c r="B233" s="558"/>
      <c r="C233" s="953"/>
      <c r="D233" s="953"/>
      <c r="E233" s="953"/>
      <c r="F233" s="953"/>
      <c r="G233" s="953"/>
      <c r="H233" s="953"/>
      <c r="I233" s="953"/>
      <c r="J233" s="953"/>
      <c r="K233" s="953"/>
      <c r="L233" s="953"/>
      <c r="M233" s="954"/>
    </row>
    <row r="234" spans="1:13" ht="15" customHeight="1">
      <c r="A234" s="601"/>
      <c r="B234" s="558"/>
      <c r="C234" s="953"/>
      <c r="D234" s="953"/>
      <c r="E234" s="953"/>
      <c r="F234" s="953"/>
      <c r="G234" s="953"/>
      <c r="H234" s="953"/>
      <c r="I234" s="953"/>
      <c r="J234" s="953"/>
      <c r="K234" s="953"/>
      <c r="L234" s="953"/>
      <c r="M234" s="954"/>
    </row>
    <row r="235" spans="1:13" ht="15" customHeight="1">
      <c r="A235" s="601"/>
      <c r="B235" s="558" t="s">
        <v>439</v>
      </c>
      <c r="C235" s="953" t="s">
        <v>667</v>
      </c>
      <c r="D235" s="953"/>
      <c r="E235" s="953"/>
      <c r="F235" s="953"/>
      <c r="G235" s="953"/>
      <c r="H235" s="953"/>
      <c r="I235" s="953"/>
      <c r="J235" s="953"/>
      <c r="K235" s="953"/>
      <c r="L235" s="953"/>
      <c r="M235" s="954"/>
    </row>
    <row r="236" spans="1:13" ht="15" customHeight="1">
      <c r="A236" s="601"/>
      <c r="B236" s="558"/>
      <c r="C236" s="953"/>
      <c r="D236" s="953"/>
      <c r="E236" s="953"/>
      <c r="F236" s="953"/>
      <c r="G236" s="953"/>
      <c r="H236" s="953"/>
      <c r="I236" s="953"/>
      <c r="J236" s="953"/>
      <c r="K236" s="953"/>
      <c r="L236" s="953"/>
      <c r="M236" s="954"/>
    </row>
    <row r="237" spans="1:13" ht="15" customHeight="1">
      <c r="A237" s="601"/>
      <c r="B237" s="558" t="s">
        <v>431</v>
      </c>
      <c r="C237" s="953" t="s">
        <v>668</v>
      </c>
      <c r="D237" s="953"/>
      <c r="E237" s="953"/>
      <c r="F237" s="953"/>
      <c r="G237" s="953"/>
      <c r="H237" s="953"/>
      <c r="I237" s="953"/>
      <c r="J237" s="953"/>
      <c r="K237" s="953"/>
      <c r="L237" s="953"/>
      <c r="M237" s="954"/>
    </row>
    <row r="238" spans="1:13" ht="15" customHeight="1">
      <c r="A238" s="601"/>
      <c r="B238" s="558"/>
      <c r="C238" s="953"/>
      <c r="D238" s="953"/>
      <c r="E238" s="953"/>
      <c r="F238" s="953"/>
      <c r="G238" s="953"/>
      <c r="H238" s="953"/>
      <c r="I238" s="953"/>
      <c r="J238" s="953"/>
      <c r="K238" s="953"/>
      <c r="L238" s="953"/>
      <c r="M238" s="954"/>
    </row>
    <row r="239" spans="1:13" ht="15" customHeight="1">
      <c r="A239" s="601"/>
      <c r="B239" s="558" t="s">
        <v>433</v>
      </c>
      <c r="C239" s="953" t="s">
        <v>669</v>
      </c>
      <c r="D239" s="953"/>
      <c r="E239" s="953"/>
      <c r="F239" s="953"/>
      <c r="G239" s="953"/>
      <c r="H239" s="953"/>
      <c r="I239" s="953"/>
      <c r="J239" s="953"/>
      <c r="K239" s="953"/>
      <c r="L239" s="953"/>
      <c r="M239" s="954"/>
    </row>
    <row r="240" spans="1:13" ht="15" customHeight="1">
      <c r="A240" s="601"/>
      <c r="B240" s="558"/>
      <c r="C240" s="953"/>
      <c r="D240" s="953"/>
      <c r="E240" s="953"/>
      <c r="F240" s="953"/>
      <c r="G240" s="953"/>
      <c r="H240" s="953"/>
      <c r="I240" s="953"/>
      <c r="J240" s="953"/>
      <c r="K240" s="953"/>
      <c r="L240" s="953"/>
      <c r="M240" s="954"/>
    </row>
    <row r="241" spans="1:13" ht="15" customHeight="1">
      <c r="A241" s="601"/>
      <c r="B241" s="558"/>
      <c r="C241" s="953"/>
      <c r="D241" s="953"/>
      <c r="E241" s="953"/>
      <c r="F241" s="953"/>
      <c r="G241" s="953"/>
      <c r="H241" s="953"/>
      <c r="I241" s="953"/>
      <c r="J241" s="953"/>
      <c r="K241" s="953"/>
      <c r="L241" s="953"/>
      <c r="M241" s="954"/>
    </row>
    <row r="242" spans="1:13" ht="15" customHeight="1">
      <c r="A242" s="601"/>
      <c r="B242" s="558" t="s">
        <v>496</v>
      </c>
      <c r="C242" s="953" t="s">
        <v>670</v>
      </c>
      <c r="D242" s="953"/>
      <c r="E242" s="953"/>
      <c r="F242" s="953"/>
      <c r="G242" s="953"/>
      <c r="H242" s="953"/>
      <c r="I242" s="953"/>
      <c r="J242" s="953"/>
      <c r="K242" s="953"/>
      <c r="L242" s="953"/>
      <c r="M242" s="954"/>
    </row>
    <row r="243" spans="1:13" ht="15" customHeight="1">
      <c r="A243" s="601"/>
      <c r="B243" s="558"/>
      <c r="C243" s="953"/>
      <c r="D243" s="953"/>
      <c r="E243" s="953"/>
      <c r="F243" s="953"/>
      <c r="G243" s="953"/>
      <c r="H243" s="953"/>
      <c r="I243" s="953"/>
      <c r="J243" s="953"/>
      <c r="K243" s="953"/>
      <c r="L243" s="953"/>
      <c r="M243" s="954"/>
    </row>
    <row r="244" spans="1:13" ht="15" customHeight="1">
      <c r="A244" s="601"/>
      <c r="B244" s="558" t="s">
        <v>498</v>
      </c>
      <c r="C244" s="953" t="s">
        <v>671</v>
      </c>
      <c r="D244" s="953"/>
      <c r="E244" s="953"/>
      <c r="F244" s="953"/>
      <c r="G244" s="953"/>
      <c r="H244" s="953"/>
      <c r="I244" s="953"/>
      <c r="J244" s="953"/>
      <c r="K244" s="953"/>
      <c r="L244" s="953"/>
      <c r="M244" s="954"/>
    </row>
    <row r="245" spans="1:13" ht="15" customHeight="1">
      <c r="A245" s="601"/>
      <c r="B245" s="558"/>
      <c r="C245" s="953"/>
      <c r="D245" s="953"/>
      <c r="E245" s="953"/>
      <c r="F245" s="953"/>
      <c r="G245" s="953"/>
      <c r="H245" s="953"/>
      <c r="I245" s="953"/>
      <c r="J245" s="953"/>
      <c r="K245" s="953"/>
      <c r="L245" s="953"/>
      <c r="M245" s="954"/>
    </row>
    <row r="246" spans="1:13" ht="15" customHeight="1">
      <c r="A246" s="601"/>
      <c r="B246" s="558"/>
      <c r="C246" s="953"/>
      <c r="D246" s="953"/>
      <c r="E246" s="953"/>
      <c r="F246" s="953"/>
      <c r="G246" s="953"/>
      <c r="H246" s="953"/>
      <c r="I246" s="953"/>
      <c r="J246" s="953"/>
      <c r="K246" s="953"/>
      <c r="L246" s="953"/>
      <c r="M246" s="954"/>
    </row>
    <row r="247" spans="1:13" ht="15" customHeight="1">
      <c r="A247" s="601"/>
      <c r="B247" s="558" t="s">
        <v>598</v>
      </c>
      <c r="C247" s="953" t="s">
        <v>672</v>
      </c>
      <c r="D247" s="953"/>
      <c r="E247" s="953"/>
      <c r="F247" s="953"/>
      <c r="G247" s="953"/>
      <c r="H247" s="953"/>
      <c r="I247" s="953"/>
      <c r="J247" s="953"/>
      <c r="K247" s="953"/>
      <c r="L247" s="953"/>
      <c r="M247" s="954"/>
    </row>
    <row r="248" spans="1:13" ht="15" customHeight="1">
      <c r="A248" s="601"/>
      <c r="B248" s="558"/>
      <c r="C248" s="953"/>
      <c r="D248" s="953"/>
      <c r="E248" s="953"/>
      <c r="F248" s="953"/>
      <c r="G248" s="953"/>
      <c r="H248" s="953"/>
      <c r="I248" s="953"/>
      <c r="J248" s="953"/>
      <c r="K248" s="953"/>
      <c r="L248" s="953"/>
      <c r="M248" s="954"/>
    </row>
    <row r="249" spans="1:13" ht="15" customHeight="1">
      <c r="A249" s="601"/>
      <c r="B249" s="558" t="s">
        <v>599</v>
      </c>
      <c r="C249" s="953" t="s">
        <v>673</v>
      </c>
      <c r="D249" s="953"/>
      <c r="E249" s="953"/>
      <c r="F249" s="953"/>
      <c r="G249" s="953"/>
      <c r="H249" s="953"/>
      <c r="I249" s="953"/>
      <c r="J249" s="953"/>
      <c r="K249" s="953"/>
      <c r="L249" s="953"/>
      <c r="M249" s="954"/>
    </row>
    <row r="250" spans="1:13" ht="15" customHeight="1">
      <c r="A250" s="601"/>
      <c r="B250" s="558" t="s">
        <v>674</v>
      </c>
      <c r="C250" s="953" t="s">
        <v>675</v>
      </c>
      <c r="D250" s="953"/>
      <c r="E250" s="953"/>
      <c r="F250" s="953"/>
      <c r="G250" s="953"/>
      <c r="H250" s="953"/>
      <c r="I250" s="953"/>
      <c r="J250" s="953"/>
      <c r="K250" s="953"/>
      <c r="L250" s="953"/>
      <c r="M250" s="954"/>
    </row>
    <row r="251" spans="1:13" ht="15" customHeight="1">
      <c r="A251" s="601"/>
      <c r="B251" s="558"/>
      <c r="C251" s="953"/>
      <c r="D251" s="953"/>
      <c r="E251" s="953"/>
      <c r="F251" s="953"/>
      <c r="G251" s="953"/>
      <c r="H251" s="953"/>
      <c r="I251" s="953"/>
      <c r="J251" s="953"/>
      <c r="K251" s="953"/>
      <c r="L251" s="953"/>
      <c r="M251" s="954"/>
    </row>
    <row r="252" spans="1:13" ht="15" customHeight="1">
      <c r="A252" s="601"/>
      <c r="B252" s="558"/>
      <c r="C252" s="953"/>
      <c r="D252" s="953"/>
      <c r="E252" s="953"/>
      <c r="F252" s="953"/>
      <c r="G252" s="953"/>
      <c r="H252" s="953"/>
      <c r="I252" s="953"/>
      <c r="J252" s="953"/>
      <c r="K252" s="953"/>
      <c r="L252" s="953"/>
      <c r="M252" s="954"/>
    </row>
    <row r="253" spans="1:13" ht="15" customHeight="1">
      <c r="A253" s="601"/>
      <c r="B253" s="558"/>
      <c r="C253" s="953"/>
      <c r="D253" s="953"/>
      <c r="E253" s="953"/>
      <c r="F253" s="953"/>
      <c r="G253" s="953"/>
      <c r="H253" s="953"/>
      <c r="I253" s="953"/>
      <c r="J253" s="953"/>
      <c r="K253" s="953"/>
      <c r="L253" s="953"/>
      <c r="M253" s="954"/>
    </row>
    <row r="254" spans="1:13" ht="15" customHeight="1">
      <c r="A254" s="601"/>
      <c r="B254" s="552"/>
      <c r="C254" s="607"/>
      <c r="D254" s="607"/>
      <c r="E254" s="552"/>
      <c r="F254" s="552"/>
      <c r="G254" s="552"/>
      <c r="H254" s="552"/>
      <c r="I254" s="552"/>
      <c r="J254" s="552"/>
      <c r="K254" s="552"/>
      <c r="L254" s="552"/>
      <c r="M254" s="583"/>
    </row>
    <row r="255" spans="1:13" ht="15" customHeight="1">
      <c r="A255" s="798" t="s">
        <v>477</v>
      </c>
      <c r="B255" s="552" t="s">
        <v>676</v>
      </c>
      <c r="C255" s="607"/>
      <c r="D255" s="607"/>
      <c r="E255" s="552"/>
      <c r="F255" s="552"/>
      <c r="G255" s="552"/>
      <c r="H255" s="552"/>
      <c r="I255" s="552"/>
      <c r="J255" s="552"/>
      <c r="K255" s="552"/>
      <c r="L255" s="552"/>
      <c r="M255" s="583"/>
    </row>
    <row r="256" spans="1:13" ht="15" customHeight="1">
      <c r="A256" s="601"/>
      <c r="B256" s="558" t="s">
        <v>437</v>
      </c>
      <c r="C256" s="953" t="s">
        <v>677</v>
      </c>
      <c r="D256" s="953"/>
      <c r="E256" s="953"/>
      <c r="F256" s="953"/>
      <c r="G256" s="953"/>
      <c r="H256" s="953"/>
      <c r="I256" s="953"/>
      <c r="J256" s="953"/>
      <c r="K256" s="953"/>
      <c r="L256" s="953"/>
      <c r="M256" s="954"/>
    </row>
    <row r="257" spans="1:13" ht="15" customHeight="1">
      <c r="A257" s="601"/>
      <c r="B257" s="558"/>
      <c r="C257" s="953"/>
      <c r="D257" s="953"/>
      <c r="E257" s="953"/>
      <c r="F257" s="953"/>
      <c r="G257" s="953"/>
      <c r="H257" s="953"/>
      <c r="I257" s="953"/>
      <c r="J257" s="953"/>
      <c r="K257" s="953"/>
      <c r="L257" s="953"/>
      <c r="M257" s="954"/>
    </row>
    <row r="258" spans="1:13" ht="15" customHeight="1">
      <c r="A258" s="601"/>
      <c r="B258" s="558"/>
      <c r="C258" s="953"/>
      <c r="D258" s="953"/>
      <c r="E258" s="953"/>
      <c r="F258" s="953"/>
      <c r="G258" s="953"/>
      <c r="H258" s="953"/>
      <c r="I258" s="953"/>
      <c r="J258" s="953"/>
      <c r="K258" s="953"/>
      <c r="L258" s="953"/>
      <c r="M258" s="954"/>
    </row>
    <row r="259" spans="1:13" ht="15" customHeight="1">
      <c r="A259" s="601"/>
      <c r="B259" s="558"/>
      <c r="C259" s="953"/>
      <c r="D259" s="953"/>
      <c r="E259" s="953"/>
      <c r="F259" s="953"/>
      <c r="G259" s="953"/>
      <c r="H259" s="953"/>
      <c r="I259" s="953"/>
      <c r="J259" s="953"/>
      <c r="K259" s="953"/>
      <c r="L259" s="953"/>
      <c r="M259" s="954"/>
    </row>
    <row r="260" spans="1:13" ht="15" customHeight="1">
      <c r="A260" s="601"/>
      <c r="B260" s="558" t="s">
        <v>439</v>
      </c>
      <c r="C260" s="953" t="s">
        <v>678</v>
      </c>
      <c r="D260" s="953"/>
      <c r="E260" s="953"/>
      <c r="F260" s="953"/>
      <c r="G260" s="953"/>
      <c r="H260" s="953"/>
      <c r="I260" s="953"/>
      <c r="J260" s="953"/>
      <c r="K260" s="953"/>
      <c r="L260" s="953"/>
      <c r="M260" s="954"/>
    </row>
    <row r="261" spans="1:13" ht="15" customHeight="1">
      <c r="A261" s="601"/>
      <c r="B261" s="558"/>
      <c r="C261" s="953"/>
      <c r="D261" s="953"/>
      <c r="E261" s="953"/>
      <c r="F261" s="953"/>
      <c r="G261" s="953"/>
      <c r="H261" s="953"/>
      <c r="I261" s="953"/>
      <c r="J261" s="953"/>
      <c r="K261" s="953"/>
      <c r="L261" s="953"/>
      <c r="M261" s="954"/>
    </row>
    <row r="262" spans="1:13" ht="15" customHeight="1">
      <c r="A262" s="601"/>
      <c r="B262" s="558"/>
      <c r="C262" s="953"/>
      <c r="D262" s="953"/>
      <c r="E262" s="953"/>
      <c r="F262" s="953"/>
      <c r="G262" s="953"/>
      <c r="H262" s="953"/>
      <c r="I262" s="953"/>
      <c r="J262" s="953"/>
      <c r="K262" s="953"/>
      <c r="L262" s="953"/>
      <c r="M262" s="954"/>
    </row>
    <row r="263" spans="1:13" ht="15" customHeight="1">
      <c r="A263" s="601"/>
      <c r="B263" s="558"/>
      <c r="C263" s="953"/>
      <c r="D263" s="953"/>
      <c r="E263" s="953"/>
      <c r="F263" s="953"/>
      <c r="G263" s="953"/>
      <c r="H263" s="953"/>
      <c r="I263" s="953"/>
      <c r="J263" s="953"/>
      <c r="K263" s="953"/>
      <c r="L263" s="953"/>
      <c r="M263" s="954"/>
    </row>
    <row r="264" spans="1:13" ht="15" customHeight="1">
      <c r="A264" s="601"/>
      <c r="B264" s="558"/>
      <c r="C264" s="953"/>
      <c r="D264" s="953"/>
      <c r="E264" s="953"/>
      <c r="F264" s="953"/>
      <c r="G264" s="953"/>
      <c r="H264" s="953"/>
      <c r="I264" s="953"/>
      <c r="J264" s="953"/>
      <c r="K264" s="953"/>
      <c r="L264" s="953"/>
      <c r="M264" s="954"/>
    </row>
    <row r="265" spans="1:13" ht="15" customHeight="1">
      <c r="A265" s="601"/>
      <c r="B265" s="558" t="s">
        <v>431</v>
      </c>
      <c r="C265" s="953" t="s">
        <v>679</v>
      </c>
      <c r="D265" s="953"/>
      <c r="E265" s="953"/>
      <c r="F265" s="953"/>
      <c r="G265" s="953"/>
      <c r="H265" s="953"/>
      <c r="I265" s="953"/>
      <c r="J265" s="953"/>
      <c r="K265" s="953"/>
      <c r="L265" s="953"/>
      <c r="M265" s="954"/>
    </row>
    <row r="266" spans="1:13" ht="15" customHeight="1">
      <c r="A266" s="601"/>
      <c r="B266" s="558"/>
      <c r="C266" s="953"/>
      <c r="D266" s="953"/>
      <c r="E266" s="953"/>
      <c r="F266" s="953"/>
      <c r="G266" s="953"/>
      <c r="H266" s="953"/>
      <c r="I266" s="953"/>
      <c r="J266" s="953"/>
      <c r="K266" s="953"/>
      <c r="L266" s="953"/>
      <c r="M266" s="954"/>
    </row>
    <row r="267" spans="1:13" ht="15" customHeight="1">
      <c r="A267" s="601"/>
      <c r="B267" s="552"/>
      <c r="C267" s="607"/>
      <c r="D267" s="607"/>
      <c r="E267" s="552"/>
      <c r="F267" s="552"/>
      <c r="G267" s="552"/>
      <c r="H267" s="552"/>
      <c r="I267" s="552"/>
      <c r="J267" s="552"/>
      <c r="K267" s="552"/>
      <c r="L267" s="552"/>
      <c r="M267" s="583"/>
    </row>
    <row r="268" spans="1:13" ht="15" customHeight="1">
      <c r="A268" s="798" t="s">
        <v>480</v>
      </c>
      <c r="B268" s="552" t="s">
        <v>680</v>
      </c>
      <c r="C268" s="607"/>
      <c r="D268" s="607"/>
      <c r="E268" s="552"/>
      <c r="F268" s="552"/>
      <c r="G268" s="552"/>
      <c r="H268" s="552"/>
      <c r="I268" s="552"/>
      <c r="J268" s="552"/>
      <c r="K268" s="552"/>
      <c r="L268" s="552"/>
      <c r="M268" s="583"/>
    </row>
    <row r="269" spans="1:13" ht="15" customHeight="1">
      <c r="A269" s="601"/>
      <c r="B269" s="558" t="s">
        <v>437</v>
      </c>
      <c r="C269" s="953" t="s">
        <v>681</v>
      </c>
      <c r="D269" s="953"/>
      <c r="E269" s="953"/>
      <c r="F269" s="953"/>
      <c r="G269" s="953"/>
      <c r="H269" s="953"/>
      <c r="I269" s="953"/>
      <c r="J269" s="953"/>
      <c r="K269" s="953"/>
      <c r="L269" s="953"/>
      <c r="M269" s="954"/>
    </row>
    <row r="270" spans="1:13" ht="15" customHeight="1">
      <c r="A270" s="601"/>
      <c r="B270" s="558"/>
      <c r="C270" s="953"/>
      <c r="D270" s="953"/>
      <c r="E270" s="953"/>
      <c r="F270" s="953"/>
      <c r="G270" s="953"/>
      <c r="H270" s="953"/>
      <c r="I270" s="953"/>
      <c r="J270" s="953"/>
      <c r="K270" s="953"/>
      <c r="L270" s="953"/>
      <c r="M270" s="954"/>
    </row>
    <row r="271" spans="1:13" ht="15" customHeight="1">
      <c r="A271" s="601"/>
      <c r="B271" s="558" t="s">
        <v>439</v>
      </c>
      <c r="C271" s="953" t="s">
        <v>682</v>
      </c>
      <c r="D271" s="953"/>
      <c r="E271" s="953"/>
      <c r="F271" s="953"/>
      <c r="G271" s="953"/>
      <c r="H271" s="953"/>
      <c r="I271" s="953"/>
      <c r="J271" s="953"/>
      <c r="K271" s="953"/>
      <c r="L271" s="953"/>
      <c r="M271" s="954"/>
    </row>
    <row r="272" spans="1:13" ht="15" customHeight="1">
      <c r="A272" s="601"/>
      <c r="B272" s="558" t="s">
        <v>431</v>
      </c>
      <c r="C272" s="953" t="s">
        <v>683</v>
      </c>
      <c r="D272" s="953"/>
      <c r="E272" s="953"/>
      <c r="F272" s="953"/>
      <c r="G272" s="953"/>
      <c r="H272" s="953"/>
      <c r="I272" s="953"/>
      <c r="J272" s="953"/>
      <c r="K272" s="953"/>
      <c r="L272" s="953"/>
      <c r="M272" s="954"/>
    </row>
    <row r="273" spans="1:13" ht="15" customHeight="1">
      <c r="A273" s="601"/>
      <c r="B273" s="558"/>
      <c r="C273" s="953"/>
      <c r="D273" s="953"/>
      <c r="E273" s="953"/>
      <c r="F273" s="953"/>
      <c r="G273" s="953"/>
      <c r="H273" s="953"/>
      <c r="I273" s="953"/>
      <c r="J273" s="953"/>
      <c r="K273" s="953"/>
      <c r="L273" s="953"/>
      <c r="M273" s="954"/>
    </row>
    <row r="274" spans="1:13" ht="15" customHeight="1">
      <c r="A274" s="601"/>
      <c r="B274" s="558"/>
      <c r="C274" s="558" t="s">
        <v>459</v>
      </c>
      <c r="D274" s="953" t="s">
        <v>684</v>
      </c>
      <c r="E274" s="953"/>
      <c r="F274" s="953"/>
      <c r="G274" s="953"/>
      <c r="H274" s="953"/>
      <c r="I274" s="953"/>
      <c r="J274" s="953"/>
      <c r="K274" s="953"/>
      <c r="L274" s="953"/>
      <c r="M274" s="954"/>
    </row>
    <row r="275" spans="1:13" ht="15" customHeight="1">
      <c r="A275" s="601"/>
      <c r="B275" s="558"/>
      <c r="C275" s="558"/>
      <c r="D275" s="953"/>
      <c r="E275" s="953"/>
      <c r="F275" s="953"/>
      <c r="G275" s="953"/>
      <c r="H275" s="953"/>
      <c r="I275" s="953"/>
      <c r="J275" s="953"/>
      <c r="K275" s="953"/>
      <c r="L275" s="953"/>
      <c r="M275" s="954"/>
    </row>
    <row r="276" spans="1:13" ht="15" customHeight="1">
      <c r="A276" s="601"/>
      <c r="B276" s="558"/>
      <c r="C276" s="558" t="s">
        <v>461</v>
      </c>
      <c r="D276" s="953" t="s">
        <v>685</v>
      </c>
      <c r="E276" s="953"/>
      <c r="F276" s="953"/>
      <c r="G276" s="953"/>
      <c r="H276" s="953"/>
      <c r="I276" s="953"/>
      <c r="J276" s="953"/>
      <c r="K276" s="953"/>
      <c r="L276" s="953"/>
      <c r="M276" s="954"/>
    </row>
    <row r="277" spans="1:13" ht="15" customHeight="1">
      <c r="A277" s="601"/>
      <c r="B277" s="558"/>
      <c r="C277" s="558"/>
      <c r="D277" s="953"/>
      <c r="E277" s="953"/>
      <c r="F277" s="953"/>
      <c r="G277" s="953"/>
      <c r="H277" s="953"/>
      <c r="I277" s="953"/>
      <c r="J277" s="953"/>
      <c r="K277" s="953"/>
      <c r="L277" s="953"/>
      <c r="M277" s="954"/>
    </row>
    <row r="278" spans="1:13" ht="15" customHeight="1">
      <c r="A278" s="608"/>
      <c r="B278" s="560"/>
      <c r="C278" s="560"/>
      <c r="D278" s="966"/>
      <c r="E278" s="966"/>
      <c r="F278" s="966"/>
      <c r="G278" s="966"/>
      <c r="H278" s="966"/>
      <c r="I278" s="966"/>
      <c r="J278" s="966"/>
      <c r="K278" s="966"/>
      <c r="L278" s="966"/>
      <c r="M278" s="967"/>
    </row>
    <row r="279" spans="1:13" ht="15" customHeight="1">
      <c r="A279" s="600"/>
      <c r="B279" s="570"/>
      <c r="C279" s="570" t="s">
        <v>469</v>
      </c>
      <c r="D279" s="968" t="s">
        <v>686</v>
      </c>
      <c r="E279" s="968"/>
      <c r="F279" s="968"/>
      <c r="G279" s="968"/>
      <c r="H279" s="968"/>
      <c r="I279" s="968"/>
      <c r="J279" s="968"/>
      <c r="K279" s="968"/>
      <c r="L279" s="968"/>
      <c r="M279" s="969"/>
    </row>
    <row r="280" spans="1:13" ht="15" customHeight="1">
      <c r="A280" s="601"/>
      <c r="B280" s="558"/>
      <c r="C280" s="558"/>
      <c r="D280" s="953"/>
      <c r="E280" s="953"/>
      <c r="F280" s="953"/>
      <c r="G280" s="953"/>
      <c r="H280" s="953"/>
      <c r="I280" s="953"/>
      <c r="J280" s="953"/>
      <c r="K280" s="953"/>
      <c r="L280" s="953"/>
      <c r="M280" s="954"/>
    </row>
    <row r="281" spans="1:13" ht="15" customHeight="1">
      <c r="A281" s="601"/>
      <c r="B281" s="558"/>
      <c r="C281" s="558"/>
      <c r="D281" s="953"/>
      <c r="E281" s="953"/>
      <c r="F281" s="953"/>
      <c r="G281" s="953"/>
      <c r="H281" s="953"/>
      <c r="I281" s="953"/>
      <c r="J281" s="953"/>
      <c r="K281" s="953"/>
      <c r="L281" s="953"/>
      <c r="M281" s="954"/>
    </row>
    <row r="282" spans="1:13" ht="15" customHeight="1">
      <c r="A282" s="601"/>
      <c r="B282" s="558"/>
      <c r="C282" s="558"/>
      <c r="D282" s="953"/>
      <c r="E282" s="953"/>
      <c r="F282" s="953"/>
      <c r="G282" s="953"/>
      <c r="H282" s="953"/>
      <c r="I282" s="953"/>
      <c r="J282" s="953"/>
      <c r="K282" s="953"/>
      <c r="L282" s="953"/>
      <c r="M282" s="954"/>
    </row>
    <row r="283" spans="1:13" ht="15" customHeight="1">
      <c r="A283" s="601"/>
      <c r="B283" s="558"/>
      <c r="C283" s="558" t="s">
        <v>515</v>
      </c>
      <c r="D283" s="953" t="s">
        <v>687</v>
      </c>
      <c r="E283" s="953"/>
      <c r="F283" s="953"/>
      <c r="G283" s="953"/>
      <c r="H283" s="953"/>
      <c r="I283" s="953"/>
      <c r="J283" s="953"/>
      <c r="K283" s="953"/>
      <c r="L283" s="953"/>
      <c r="M283" s="954"/>
    </row>
    <row r="284" spans="1:13" ht="15" customHeight="1">
      <c r="A284" s="601"/>
      <c r="B284" s="558"/>
      <c r="C284" s="558"/>
      <c r="D284" s="953"/>
      <c r="E284" s="953"/>
      <c r="F284" s="953"/>
      <c r="G284" s="953"/>
      <c r="H284" s="953"/>
      <c r="I284" s="953"/>
      <c r="J284" s="953"/>
      <c r="K284" s="953"/>
      <c r="L284" s="953"/>
      <c r="M284" s="954"/>
    </row>
    <row r="285" spans="1:13" ht="15" customHeight="1">
      <c r="A285" s="601"/>
      <c r="B285" s="558"/>
      <c r="C285" s="558"/>
      <c r="D285" s="953"/>
      <c r="E285" s="953"/>
      <c r="F285" s="953"/>
      <c r="G285" s="953"/>
      <c r="H285" s="953"/>
      <c r="I285" s="953"/>
      <c r="J285" s="953"/>
      <c r="K285" s="953"/>
      <c r="L285" s="953"/>
      <c r="M285" s="954"/>
    </row>
    <row r="286" spans="1:13" ht="15" customHeight="1">
      <c r="A286" s="601"/>
      <c r="B286" s="558"/>
      <c r="C286" s="558"/>
      <c r="D286" s="953"/>
      <c r="E286" s="953"/>
      <c r="F286" s="953"/>
      <c r="G286" s="953"/>
      <c r="H286" s="953"/>
      <c r="I286" s="953"/>
      <c r="J286" s="953"/>
      <c r="K286" s="953"/>
      <c r="L286" s="953"/>
      <c r="M286" s="954"/>
    </row>
    <row r="287" spans="1:13" ht="15" customHeight="1">
      <c r="A287" s="601"/>
      <c r="B287" s="558"/>
      <c r="C287" s="558" t="s">
        <v>525</v>
      </c>
      <c r="D287" s="953" t="s">
        <v>688</v>
      </c>
      <c r="E287" s="953"/>
      <c r="F287" s="953"/>
      <c r="G287" s="953"/>
      <c r="H287" s="953"/>
      <c r="I287" s="953"/>
      <c r="J287" s="953"/>
      <c r="K287" s="953"/>
      <c r="L287" s="953"/>
      <c r="M287" s="954"/>
    </row>
    <row r="288" spans="1:13" ht="15" customHeight="1">
      <c r="A288" s="601"/>
      <c r="B288" s="558"/>
      <c r="C288" s="558"/>
      <c r="D288" s="953"/>
      <c r="E288" s="953"/>
      <c r="F288" s="953"/>
      <c r="G288" s="953"/>
      <c r="H288" s="953"/>
      <c r="I288" s="953"/>
      <c r="J288" s="953"/>
      <c r="K288" s="953"/>
      <c r="L288" s="953"/>
      <c r="M288" s="954"/>
    </row>
    <row r="289" spans="1:13" ht="15" customHeight="1">
      <c r="A289" s="601"/>
      <c r="B289" s="558"/>
      <c r="C289" s="558"/>
      <c r="D289" s="953"/>
      <c r="E289" s="953"/>
      <c r="F289" s="953"/>
      <c r="G289" s="953"/>
      <c r="H289" s="953"/>
      <c r="I289" s="953"/>
      <c r="J289" s="953"/>
      <c r="K289" s="953"/>
      <c r="L289" s="953"/>
      <c r="M289" s="954"/>
    </row>
    <row r="290" spans="1:13" ht="15" customHeight="1">
      <c r="A290" s="601"/>
      <c r="B290" s="558"/>
      <c r="C290" s="558" t="s">
        <v>527</v>
      </c>
      <c r="D290" s="953" t="s">
        <v>689</v>
      </c>
      <c r="E290" s="953"/>
      <c r="F290" s="953"/>
      <c r="G290" s="953"/>
      <c r="H290" s="953"/>
      <c r="I290" s="953"/>
      <c r="J290" s="953"/>
      <c r="K290" s="953"/>
      <c r="L290" s="953"/>
      <c r="M290" s="954"/>
    </row>
    <row r="291" spans="1:13" ht="15" customHeight="1">
      <c r="A291" s="601"/>
      <c r="B291" s="558"/>
      <c r="C291" s="558"/>
      <c r="D291" s="953"/>
      <c r="E291" s="953"/>
      <c r="F291" s="953"/>
      <c r="G291" s="953"/>
      <c r="H291" s="953"/>
      <c r="I291" s="953"/>
      <c r="J291" s="953"/>
      <c r="K291" s="953"/>
      <c r="L291" s="953"/>
      <c r="M291" s="954"/>
    </row>
    <row r="292" spans="1:13" ht="15" customHeight="1">
      <c r="A292" s="601"/>
      <c r="B292" s="558"/>
      <c r="C292" s="558"/>
      <c r="D292" s="558"/>
      <c r="E292" s="558"/>
      <c r="F292" s="558"/>
      <c r="G292" s="558"/>
      <c r="H292" s="558"/>
      <c r="I292" s="558"/>
      <c r="J292" s="558"/>
      <c r="K292" s="558"/>
      <c r="L292" s="558"/>
      <c r="M292" s="589"/>
    </row>
    <row r="293" spans="1:13" ht="15" customHeight="1">
      <c r="A293" s="798" t="s">
        <v>484</v>
      </c>
      <c r="B293" s="552" t="s">
        <v>690</v>
      </c>
      <c r="C293" s="607"/>
      <c r="D293" s="607"/>
      <c r="E293" s="552"/>
      <c r="F293" s="552"/>
      <c r="G293" s="552"/>
      <c r="H293" s="552"/>
      <c r="I293" s="552"/>
      <c r="J293" s="552"/>
      <c r="K293" s="552"/>
      <c r="L293" s="552"/>
      <c r="M293" s="583"/>
    </row>
    <row r="294" spans="1:13" ht="15" customHeight="1">
      <c r="A294" s="601"/>
      <c r="B294" s="558" t="s">
        <v>437</v>
      </c>
      <c r="C294" s="953" t="s">
        <v>691</v>
      </c>
      <c r="D294" s="953"/>
      <c r="E294" s="953"/>
      <c r="F294" s="953"/>
      <c r="G294" s="953"/>
      <c r="H294" s="953"/>
      <c r="I294" s="953"/>
      <c r="J294" s="953"/>
      <c r="K294" s="953"/>
      <c r="L294" s="953"/>
      <c r="M294" s="954"/>
    </row>
    <row r="295" spans="1:13" ht="15" customHeight="1">
      <c r="A295" s="601"/>
      <c r="B295" s="558"/>
      <c r="C295" s="953"/>
      <c r="D295" s="953"/>
      <c r="E295" s="953"/>
      <c r="F295" s="953"/>
      <c r="G295" s="953"/>
      <c r="H295" s="953"/>
      <c r="I295" s="953"/>
      <c r="J295" s="953"/>
      <c r="K295" s="953"/>
      <c r="L295" s="953"/>
      <c r="M295" s="954"/>
    </row>
    <row r="296" spans="1:13" ht="15" customHeight="1">
      <c r="A296" s="601"/>
      <c r="B296" s="558"/>
      <c r="C296" s="953"/>
      <c r="D296" s="953"/>
      <c r="E296" s="953"/>
      <c r="F296" s="953"/>
      <c r="G296" s="953"/>
      <c r="H296" s="953"/>
      <c r="I296" s="953"/>
      <c r="J296" s="953"/>
      <c r="K296" s="953"/>
      <c r="L296" s="953"/>
      <c r="M296" s="954"/>
    </row>
    <row r="297" spans="1:13" ht="15" customHeight="1">
      <c r="A297" s="601"/>
      <c r="B297" s="558" t="s">
        <v>439</v>
      </c>
      <c r="C297" s="953" t="s">
        <v>692</v>
      </c>
      <c r="D297" s="953"/>
      <c r="E297" s="953"/>
      <c r="F297" s="953"/>
      <c r="G297" s="953"/>
      <c r="H297" s="953"/>
      <c r="I297" s="953"/>
      <c r="J297" s="953"/>
      <c r="K297" s="953"/>
      <c r="L297" s="953"/>
      <c r="M297" s="954"/>
    </row>
    <row r="298" spans="1:13" ht="15" customHeight="1">
      <c r="A298" s="601"/>
      <c r="B298" s="558"/>
      <c r="C298" s="953"/>
      <c r="D298" s="953"/>
      <c r="E298" s="953"/>
      <c r="F298" s="953"/>
      <c r="G298" s="953"/>
      <c r="H298" s="953"/>
      <c r="I298" s="953"/>
      <c r="J298" s="953"/>
      <c r="K298" s="953"/>
      <c r="L298" s="953"/>
      <c r="M298" s="954"/>
    </row>
    <row r="299" spans="1:13" ht="15" customHeight="1">
      <c r="A299" s="601"/>
      <c r="B299" s="558"/>
      <c r="C299" s="558" t="s">
        <v>459</v>
      </c>
      <c r="D299" s="953" t="s">
        <v>693</v>
      </c>
      <c r="E299" s="953"/>
      <c r="F299" s="953"/>
      <c r="G299" s="953"/>
      <c r="H299" s="953"/>
      <c r="I299" s="953"/>
      <c r="J299" s="953"/>
      <c r="K299" s="953"/>
      <c r="L299" s="953"/>
      <c r="M299" s="954"/>
    </row>
    <row r="300" spans="1:13" ht="15" customHeight="1">
      <c r="A300" s="601"/>
      <c r="B300" s="558"/>
      <c r="C300" s="558" t="s">
        <v>461</v>
      </c>
      <c r="D300" s="953" t="s">
        <v>694</v>
      </c>
      <c r="E300" s="953"/>
      <c r="F300" s="953"/>
      <c r="G300" s="953"/>
      <c r="H300" s="953"/>
      <c r="I300" s="953"/>
      <c r="J300" s="953"/>
      <c r="K300" s="953"/>
      <c r="L300" s="953"/>
      <c r="M300" s="954"/>
    </row>
    <row r="301" spans="1:13" ht="15" customHeight="1">
      <c r="A301" s="601"/>
      <c r="B301" s="558" t="s">
        <v>431</v>
      </c>
      <c r="C301" s="953" t="s">
        <v>695</v>
      </c>
      <c r="D301" s="953"/>
      <c r="E301" s="953"/>
      <c r="F301" s="953"/>
      <c r="G301" s="953"/>
      <c r="H301" s="953"/>
      <c r="I301" s="953"/>
      <c r="J301" s="953"/>
      <c r="K301" s="953"/>
      <c r="L301" s="953"/>
      <c r="M301" s="954"/>
    </row>
    <row r="302" spans="1:13" ht="15" customHeight="1">
      <c r="A302" s="601"/>
      <c r="B302" s="558"/>
      <c r="C302" s="953"/>
      <c r="D302" s="953"/>
      <c r="E302" s="953"/>
      <c r="F302" s="953"/>
      <c r="G302" s="953"/>
      <c r="H302" s="953"/>
      <c r="I302" s="953"/>
      <c r="J302" s="953"/>
      <c r="K302" s="953"/>
      <c r="L302" s="953"/>
      <c r="M302" s="954"/>
    </row>
    <row r="303" spans="1:13" ht="15" customHeight="1">
      <c r="A303" s="601"/>
      <c r="B303" s="558" t="s">
        <v>433</v>
      </c>
      <c r="C303" s="953" t="s">
        <v>696</v>
      </c>
      <c r="D303" s="953"/>
      <c r="E303" s="953"/>
      <c r="F303" s="953"/>
      <c r="G303" s="953"/>
      <c r="H303" s="953"/>
      <c r="I303" s="953"/>
      <c r="J303" s="953"/>
      <c r="K303" s="953"/>
      <c r="L303" s="953"/>
      <c r="M303" s="954"/>
    </row>
    <row r="304" spans="1:13" ht="15" customHeight="1">
      <c r="A304" s="601"/>
      <c r="B304" s="558"/>
      <c r="C304" s="953"/>
      <c r="D304" s="953"/>
      <c r="E304" s="953"/>
      <c r="F304" s="953"/>
      <c r="G304" s="953"/>
      <c r="H304" s="953"/>
      <c r="I304" s="953"/>
      <c r="J304" s="953"/>
      <c r="K304" s="953"/>
      <c r="L304" s="953"/>
      <c r="M304" s="954"/>
    </row>
    <row r="305" spans="1:13" ht="15" customHeight="1">
      <c r="A305" s="601"/>
      <c r="B305" s="558"/>
      <c r="C305" s="558" t="s">
        <v>459</v>
      </c>
      <c r="D305" s="953" t="s">
        <v>697</v>
      </c>
      <c r="E305" s="953"/>
      <c r="F305" s="953"/>
      <c r="G305" s="953"/>
      <c r="H305" s="953"/>
      <c r="I305" s="953"/>
      <c r="J305" s="953"/>
      <c r="K305" s="953"/>
      <c r="L305" s="953"/>
      <c r="M305" s="954"/>
    </row>
    <row r="306" spans="1:13" ht="15" customHeight="1">
      <c r="A306" s="601"/>
      <c r="B306" s="558"/>
      <c r="C306" s="558" t="s">
        <v>461</v>
      </c>
      <c r="D306" s="953" t="s">
        <v>698</v>
      </c>
      <c r="E306" s="953"/>
      <c r="F306" s="953"/>
      <c r="G306" s="953"/>
      <c r="H306" s="953"/>
      <c r="I306" s="953"/>
      <c r="J306" s="953"/>
      <c r="K306" s="953"/>
      <c r="L306" s="953"/>
      <c r="M306" s="954"/>
    </row>
    <row r="307" spans="1:13" ht="15" customHeight="1">
      <c r="A307" s="601"/>
      <c r="B307" s="552"/>
      <c r="C307" s="607"/>
      <c r="D307" s="607"/>
      <c r="E307" s="552"/>
      <c r="F307" s="552"/>
      <c r="G307" s="552"/>
      <c r="H307" s="552"/>
      <c r="I307" s="552"/>
      <c r="J307" s="552"/>
      <c r="K307" s="552"/>
      <c r="L307" s="552"/>
      <c r="M307" s="583"/>
    </row>
    <row r="308" spans="1:13" ht="15" customHeight="1">
      <c r="A308" s="798" t="s">
        <v>490</v>
      </c>
      <c r="B308" s="552" t="s">
        <v>699</v>
      </c>
      <c r="C308" s="607"/>
      <c r="D308" s="607"/>
      <c r="E308" s="552"/>
      <c r="F308" s="552"/>
      <c r="G308" s="552"/>
      <c r="H308" s="552"/>
      <c r="I308" s="552"/>
      <c r="J308" s="552"/>
      <c r="K308" s="552"/>
      <c r="L308" s="552"/>
      <c r="M308" s="583"/>
    </row>
    <row r="309" spans="1:13" ht="15" customHeight="1">
      <c r="A309" s="601"/>
      <c r="B309" s="558" t="s">
        <v>437</v>
      </c>
      <c r="C309" s="953" t="s">
        <v>700</v>
      </c>
      <c r="D309" s="953"/>
      <c r="E309" s="953"/>
      <c r="F309" s="953"/>
      <c r="G309" s="953"/>
      <c r="H309" s="953"/>
      <c r="I309" s="953"/>
      <c r="J309" s="953"/>
      <c r="K309" s="953"/>
      <c r="L309" s="953"/>
      <c r="M309" s="954"/>
    </row>
    <row r="310" spans="1:13" ht="15" customHeight="1">
      <c r="A310" s="601"/>
      <c r="B310" s="558"/>
      <c r="C310" s="953"/>
      <c r="D310" s="953"/>
      <c r="E310" s="953"/>
      <c r="F310" s="953"/>
      <c r="G310" s="953"/>
      <c r="H310" s="953"/>
      <c r="I310" s="953"/>
      <c r="J310" s="953"/>
      <c r="K310" s="953"/>
      <c r="L310" s="953"/>
      <c r="M310" s="954"/>
    </row>
    <row r="311" spans="1:13" ht="15" customHeight="1">
      <c r="A311" s="601"/>
      <c r="B311" s="558" t="s">
        <v>439</v>
      </c>
      <c r="C311" s="953" t="s">
        <v>701</v>
      </c>
      <c r="D311" s="953"/>
      <c r="E311" s="953"/>
      <c r="F311" s="953"/>
      <c r="G311" s="953"/>
      <c r="H311" s="953"/>
      <c r="I311" s="953"/>
      <c r="J311" s="953"/>
      <c r="K311" s="953"/>
      <c r="L311" s="953"/>
      <c r="M311" s="954"/>
    </row>
    <row r="312" spans="1:13" ht="15" customHeight="1">
      <c r="A312" s="601"/>
      <c r="B312" s="558"/>
      <c r="C312" s="953"/>
      <c r="D312" s="953"/>
      <c r="E312" s="953"/>
      <c r="F312" s="953"/>
      <c r="G312" s="953"/>
      <c r="H312" s="953"/>
      <c r="I312" s="953"/>
      <c r="J312" s="953"/>
      <c r="K312" s="953"/>
      <c r="L312" s="953"/>
      <c r="M312" s="954"/>
    </row>
    <row r="313" spans="1:13" ht="15" customHeight="1">
      <c r="A313" s="601"/>
      <c r="B313" s="552"/>
      <c r="C313" s="607"/>
      <c r="D313" s="607"/>
      <c r="E313" s="552"/>
      <c r="F313" s="552"/>
      <c r="G313" s="552"/>
      <c r="H313" s="552"/>
      <c r="I313" s="552"/>
      <c r="J313" s="552"/>
      <c r="K313" s="552"/>
      <c r="L313" s="552"/>
      <c r="M313" s="583"/>
    </row>
    <row r="314" spans="1:13" ht="15" customHeight="1">
      <c r="A314" s="798" t="s">
        <v>500</v>
      </c>
      <c r="B314" s="552" t="s">
        <v>465</v>
      </c>
      <c r="C314" s="607"/>
      <c r="D314" s="607"/>
      <c r="E314" s="552"/>
      <c r="F314" s="552"/>
      <c r="G314" s="552"/>
      <c r="H314" s="552"/>
      <c r="I314" s="552"/>
      <c r="J314" s="552"/>
      <c r="K314" s="552"/>
      <c r="L314" s="552"/>
      <c r="M314" s="583"/>
    </row>
    <row r="315" spans="1:13" ht="15" customHeight="1">
      <c r="A315" s="601"/>
      <c r="B315" s="558" t="s">
        <v>437</v>
      </c>
      <c r="C315" s="953" t="s">
        <v>702</v>
      </c>
      <c r="D315" s="953"/>
      <c r="E315" s="953"/>
      <c r="F315" s="953"/>
      <c r="G315" s="953"/>
      <c r="H315" s="953"/>
      <c r="I315" s="953"/>
      <c r="J315" s="953"/>
      <c r="K315" s="953"/>
      <c r="L315" s="953"/>
      <c r="M315" s="954"/>
    </row>
    <row r="316" spans="1:13" ht="15" customHeight="1">
      <c r="A316" s="601"/>
      <c r="B316" s="558"/>
      <c r="C316" s="953"/>
      <c r="D316" s="953"/>
      <c r="E316" s="953"/>
      <c r="F316" s="953"/>
      <c r="G316" s="953"/>
      <c r="H316" s="953"/>
      <c r="I316" s="953"/>
      <c r="J316" s="953"/>
      <c r="K316" s="953"/>
      <c r="L316" s="953"/>
      <c r="M316" s="954"/>
    </row>
    <row r="317" spans="1:13" ht="15" customHeight="1">
      <c r="A317" s="601"/>
      <c r="B317" s="558"/>
      <c r="C317" s="953"/>
      <c r="D317" s="953"/>
      <c r="E317" s="953"/>
      <c r="F317" s="953"/>
      <c r="G317" s="953"/>
      <c r="H317" s="953"/>
      <c r="I317" s="953"/>
      <c r="J317" s="953"/>
      <c r="K317" s="953"/>
      <c r="L317" s="953"/>
      <c r="M317" s="954"/>
    </row>
    <row r="318" spans="1:13" ht="15" customHeight="1">
      <c r="A318" s="601"/>
      <c r="B318" s="558"/>
      <c r="C318" s="953"/>
      <c r="D318" s="953"/>
      <c r="E318" s="953"/>
      <c r="F318" s="953"/>
      <c r="G318" s="953"/>
      <c r="H318" s="953"/>
      <c r="I318" s="953"/>
      <c r="J318" s="953"/>
      <c r="K318" s="953"/>
      <c r="L318" s="953"/>
      <c r="M318" s="954"/>
    </row>
    <row r="319" spans="1:13" ht="15" customHeight="1">
      <c r="A319" s="601"/>
      <c r="B319" s="558"/>
      <c r="C319" s="953"/>
      <c r="D319" s="953"/>
      <c r="E319" s="953"/>
      <c r="F319" s="953"/>
      <c r="G319" s="953"/>
      <c r="H319" s="953"/>
      <c r="I319" s="953"/>
      <c r="J319" s="953"/>
      <c r="K319" s="953"/>
      <c r="L319" s="953"/>
      <c r="M319" s="954"/>
    </row>
    <row r="320" spans="1:13" ht="15" customHeight="1">
      <c r="A320" s="601"/>
      <c r="B320" s="558"/>
      <c r="C320" s="953"/>
      <c r="D320" s="953"/>
      <c r="E320" s="953"/>
      <c r="F320" s="953"/>
      <c r="G320" s="953"/>
      <c r="H320" s="953"/>
      <c r="I320" s="953"/>
      <c r="J320" s="953"/>
      <c r="K320" s="953"/>
      <c r="L320" s="953"/>
      <c r="M320" s="954"/>
    </row>
    <row r="321" spans="1:13" ht="15" customHeight="1">
      <c r="A321" s="601"/>
      <c r="B321" s="558"/>
      <c r="C321" s="953"/>
      <c r="D321" s="953"/>
      <c r="E321" s="953"/>
      <c r="F321" s="953"/>
      <c r="G321" s="953"/>
      <c r="H321" s="953"/>
      <c r="I321" s="953"/>
      <c r="J321" s="953"/>
      <c r="K321" s="953"/>
      <c r="L321" s="953"/>
      <c r="M321" s="954"/>
    </row>
    <row r="322" spans="1:13" ht="15" customHeight="1">
      <c r="A322" s="601"/>
      <c r="B322" s="558"/>
      <c r="C322" s="558" t="s">
        <v>459</v>
      </c>
      <c r="D322" s="953" t="s">
        <v>703</v>
      </c>
      <c r="E322" s="953"/>
      <c r="F322" s="953"/>
      <c r="G322" s="953"/>
      <c r="H322" s="953"/>
      <c r="I322" s="953"/>
      <c r="J322" s="953"/>
      <c r="K322" s="953"/>
      <c r="L322" s="953"/>
      <c r="M322" s="954"/>
    </row>
    <row r="323" spans="1:13" ht="15" customHeight="1">
      <c r="A323" s="601"/>
      <c r="B323" s="558"/>
      <c r="C323" s="558" t="s">
        <v>461</v>
      </c>
      <c r="D323" s="953" t="s">
        <v>704</v>
      </c>
      <c r="E323" s="953"/>
      <c r="F323" s="953"/>
      <c r="G323" s="953"/>
      <c r="H323" s="953"/>
      <c r="I323" s="953"/>
      <c r="J323" s="953"/>
      <c r="K323" s="953"/>
      <c r="L323" s="953"/>
      <c r="M323" s="954"/>
    </row>
    <row r="324" spans="1:13" ht="15" customHeight="1">
      <c r="A324" s="601"/>
      <c r="B324" s="558"/>
      <c r="C324" s="558" t="s">
        <v>469</v>
      </c>
      <c r="D324" s="953" t="s">
        <v>705</v>
      </c>
      <c r="E324" s="953"/>
      <c r="F324" s="953"/>
      <c r="G324" s="953"/>
      <c r="H324" s="953"/>
      <c r="I324" s="953"/>
      <c r="J324" s="953"/>
      <c r="K324" s="953"/>
      <c r="L324" s="953"/>
      <c r="M324" s="954"/>
    </row>
    <row r="325" spans="1:13" ht="15" customHeight="1">
      <c r="A325" s="601"/>
      <c r="B325" s="558" t="s">
        <v>429</v>
      </c>
      <c r="C325" s="953" t="s">
        <v>706</v>
      </c>
      <c r="D325" s="953"/>
      <c r="E325" s="953"/>
      <c r="F325" s="953"/>
      <c r="G325" s="953"/>
      <c r="H325" s="953"/>
      <c r="I325" s="953"/>
      <c r="J325" s="953"/>
      <c r="K325" s="953"/>
      <c r="L325" s="953"/>
      <c r="M325" s="954"/>
    </row>
    <row r="326" spans="1:13" ht="15" customHeight="1">
      <c r="A326" s="601"/>
      <c r="B326" s="558"/>
      <c r="C326" s="953"/>
      <c r="D326" s="953"/>
      <c r="E326" s="953"/>
      <c r="F326" s="953"/>
      <c r="G326" s="953"/>
      <c r="H326" s="953"/>
      <c r="I326" s="953"/>
      <c r="J326" s="953"/>
      <c r="K326" s="953"/>
      <c r="L326" s="953"/>
      <c r="M326" s="954"/>
    </row>
    <row r="327" spans="1:13" ht="15" customHeight="1">
      <c r="A327" s="601"/>
      <c r="B327" s="558"/>
      <c r="C327" s="953"/>
      <c r="D327" s="953"/>
      <c r="E327" s="953"/>
      <c r="F327" s="953"/>
      <c r="G327" s="953"/>
      <c r="H327" s="953"/>
      <c r="I327" s="953"/>
      <c r="J327" s="953"/>
      <c r="K327" s="953"/>
      <c r="L327" s="953"/>
      <c r="M327" s="954"/>
    </row>
    <row r="328" spans="1:13" ht="15" customHeight="1">
      <c r="A328" s="608"/>
      <c r="B328" s="560"/>
      <c r="C328" s="966"/>
      <c r="D328" s="966"/>
      <c r="E328" s="966"/>
      <c r="F328" s="966"/>
      <c r="G328" s="966"/>
      <c r="H328" s="966"/>
      <c r="I328" s="966"/>
      <c r="J328" s="966"/>
      <c r="K328" s="966"/>
      <c r="L328" s="966"/>
      <c r="M328" s="967"/>
    </row>
    <row r="329" spans="1:13" ht="15" customHeight="1">
      <c r="A329" s="600"/>
      <c r="B329" s="570" t="s">
        <v>431</v>
      </c>
      <c r="C329" s="968" t="s">
        <v>707</v>
      </c>
      <c r="D329" s="968"/>
      <c r="E329" s="968"/>
      <c r="F329" s="968"/>
      <c r="G329" s="968"/>
      <c r="H329" s="968"/>
      <c r="I329" s="968"/>
      <c r="J329" s="968"/>
      <c r="K329" s="968"/>
      <c r="L329" s="968"/>
      <c r="M329" s="969"/>
    </row>
    <row r="330" spans="1:13" ht="15" customHeight="1">
      <c r="A330" s="601"/>
      <c r="B330" s="558"/>
      <c r="C330" s="953"/>
      <c r="D330" s="953"/>
      <c r="E330" s="953"/>
      <c r="F330" s="953"/>
      <c r="G330" s="953"/>
      <c r="H330" s="953"/>
      <c r="I330" s="953"/>
      <c r="J330" s="953"/>
      <c r="K330" s="953"/>
      <c r="L330" s="953"/>
      <c r="M330" s="954"/>
    </row>
    <row r="331" spans="1:13" ht="15" customHeight="1">
      <c r="A331" s="601"/>
      <c r="B331" s="558" t="s">
        <v>433</v>
      </c>
      <c r="C331" s="953" t="s">
        <v>708</v>
      </c>
      <c r="D331" s="953"/>
      <c r="E331" s="953"/>
      <c r="F331" s="953"/>
      <c r="G331" s="953"/>
      <c r="H331" s="953"/>
      <c r="I331" s="953"/>
      <c r="J331" s="953"/>
      <c r="K331" s="953"/>
      <c r="L331" s="953"/>
      <c r="M331" s="954"/>
    </row>
    <row r="332" spans="1:13" ht="15" customHeight="1">
      <c r="A332" s="601"/>
      <c r="B332" s="558"/>
      <c r="C332" s="953"/>
      <c r="D332" s="953"/>
      <c r="E332" s="953"/>
      <c r="F332" s="953"/>
      <c r="G332" s="953"/>
      <c r="H332" s="953"/>
      <c r="I332" s="953"/>
      <c r="J332" s="953"/>
      <c r="K332" s="953"/>
      <c r="L332" s="953"/>
      <c r="M332" s="954"/>
    </row>
    <row r="333" spans="1:13" ht="15" customHeight="1">
      <c r="A333" s="601"/>
      <c r="B333" s="558"/>
      <c r="C333" s="953"/>
      <c r="D333" s="953"/>
      <c r="E333" s="953"/>
      <c r="F333" s="953"/>
      <c r="G333" s="953"/>
      <c r="H333" s="953"/>
      <c r="I333" s="953"/>
      <c r="J333" s="953"/>
      <c r="K333" s="953"/>
      <c r="L333" s="953"/>
      <c r="M333" s="954"/>
    </row>
    <row r="334" spans="1:13" ht="15" customHeight="1">
      <c r="A334" s="601"/>
      <c r="B334" s="558"/>
      <c r="C334" s="953"/>
      <c r="D334" s="953"/>
      <c r="E334" s="953"/>
      <c r="F334" s="953"/>
      <c r="G334" s="953"/>
      <c r="H334" s="953"/>
      <c r="I334" s="953"/>
      <c r="J334" s="953"/>
      <c r="K334" s="953"/>
      <c r="L334" s="953"/>
      <c r="M334" s="954"/>
    </row>
    <row r="335" spans="1:13" ht="15" customHeight="1">
      <c r="A335" s="601"/>
      <c r="B335" s="552"/>
      <c r="C335" s="607"/>
      <c r="D335" s="607"/>
      <c r="E335" s="552"/>
      <c r="F335" s="552"/>
      <c r="G335" s="552"/>
      <c r="H335" s="552"/>
      <c r="I335" s="552"/>
      <c r="J335" s="552"/>
      <c r="K335" s="552"/>
      <c r="L335" s="552"/>
      <c r="M335" s="583"/>
    </row>
    <row r="336" spans="1:13" ht="15" customHeight="1">
      <c r="A336" s="798" t="s">
        <v>508</v>
      </c>
      <c r="B336" s="552" t="s">
        <v>709</v>
      </c>
      <c r="C336" s="607"/>
      <c r="D336" s="607"/>
      <c r="E336" s="552"/>
      <c r="F336" s="552"/>
      <c r="G336" s="552"/>
      <c r="H336" s="552"/>
      <c r="I336" s="552"/>
      <c r="J336" s="552"/>
      <c r="K336" s="552"/>
      <c r="L336" s="552"/>
      <c r="M336" s="583"/>
    </row>
    <row r="337" spans="1:13" ht="15" customHeight="1">
      <c r="A337" s="601"/>
      <c r="B337" s="558" t="s">
        <v>437</v>
      </c>
      <c r="C337" s="953" t="s">
        <v>710</v>
      </c>
      <c r="D337" s="953"/>
      <c r="E337" s="953"/>
      <c r="F337" s="953"/>
      <c r="G337" s="953"/>
      <c r="H337" s="953"/>
      <c r="I337" s="953"/>
      <c r="J337" s="953"/>
      <c r="K337" s="953"/>
      <c r="L337" s="953"/>
      <c r="M337" s="954"/>
    </row>
    <row r="338" spans="1:13" ht="15" customHeight="1">
      <c r="A338" s="601"/>
      <c r="B338" s="558"/>
      <c r="C338" s="953"/>
      <c r="D338" s="953"/>
      <c r="E338" s="953"/>
      <c r="F338" s="953"/>
      <c r="G338" s="953"/>
      <c r="H338" s="953"/>
      <c r="I338" s="953"/>
      <c r="J338" s="953"/>
      <c r="K338" s="953"/>
      <c r="L338" s="953"/>
      <c r="M338" s="954"/>
    </row>
    <row r="339" spans="1:13" ht="15" customHeight="1">
      <c r="A339" s="601"/>
      <c r="B339" s="558"/>
      <c r="C339" s="953"/>
      <c r="D339" s="953"/>
      <c r="E339" s="953"/>
      <c r="F339" s="953"/>
      <c r="G339" s="953"/>
      <c r="H339" s="953"/>
      <c r="I339" s="953"/>
      <c r="J339" s="953"/>
      <c r="K339" s="953"/>
      <c r="L339" s="953"/>
      <c r="M339" s="954"/>
    </row>
    <row r="340" spans="1:13" ht="15" customHeight="1">
      <c r="A340" s="601"/>
      <c r="B340" s="558"/>
      <c r="C340" s="953"/>
      <c r="D340" s="953"/>
      <c r="E340" s="953"/>
      <c r="F340" s="953"/>
      <c r="G340" s="953"/>
      <c r="H340" s="953"/>
      <c r="I340" s="953"/>
      <c r="J340" s="953"/>
      <c r="K340" s="953"/>
      <c r="L340" s="953"/>
      <c r="M340" s="954"/>
    </row>
    <row r="341" spans="1:13" ht="15" customHeight="1">
      <c r="A341" s="601"/>
      <c r="B341" s="558" t="s">
        <v>439</v>
      </c>
      <c r="C341" s="953" t="s">
        <v>711</v>
      </c>
      <c r="D341" s="953"/>
      <c r="E341" s="953"/>
      <c r="F341" s="953"/>
      <c r="G341" s="953"/>
      <c r="H341" s="953"/>
      <c r="I341" s="953"/>
      <c r="J341" s="953"/>
      <c r="K341" s="953"/>
      <c r="L341" s="953"/>
      <c r="M341" s="954"/>
    </row>
    <row r="342" spans="1:13" ht="15" customHeight="1">
      <c r="A342" s="601"/>
      <c r="B342" s="558"/>
      <c r="C342" s="953"/>
      <c r="D342" s="953"/>
      <c r="E342" s="953"/>
      <c r="F342" s="953"/>
      <c r="G342" s="953"/>
      <c r="H342" s="953"/>
      <c r="I342" s="953"/>
      <c r="J342" s="953"/>
      <c r="K342" s="953"/>
      <c r="L342" s="953"/>
      <c r="M342" s="954"/>
    </row>
    <row r="343" spans="1:13" ht="15" customHeight="1">
      <c r="A343" s="601"/>
      <c r="B343" s="558"/>
      <c r="C343" s="953"/>
      <c r="D343" s="953"/>
      <c r="E343" s="953"/>
      <c r="F343" s="953"/>
      <c r="G343" s="953"/>
      <c r="H343" s="953"/>
      <c r="I343" s="953"/>
      <c r="J343" s="953"/>
      <c r="K343" s="953"/>
      <c r="L343" s="953"/>
      <c r="M343" s="954"/>
    </row>
    <row r="344" spans="1:13" ht="15" customHeight="1">
      <c r="A344" s="601"/>
      <c r="B344" s="558"/>
      <c r="C344" s="953"/>
      <c r="D344" s="953"/>
      <c r="E344" s="953"/>
      <c r="F344" s="953"/>
      <c r="G344" s="953"/>
      <c r="H344" s="953"/>
      <c r="I344" s="953"/>
      <c r="J344" s="953"/>
      <c r="K344" s="953"/>
      <c r="L344" s="953"/>
      <c r="M344" s="954"/>
    </row>
    <row r="345" spans="1:13" ht="15" customHeight="1">
      <c r="A345" s="601"/>
      <c r="B345" s="558" t="s">
        <v>431</v>
      </c>
      <c r="C345" s="953" t="s">
        <v>712</v>
      </c>
      <c r="D345" s="953"/>
      <c r="E345" s="953"/>
      <c r="F345" s="953"/>
      <c r="G345" s="953"/>
      <c r="H345" s="953"/>
      <c r="I345" s="953"/>
      <c r="J345" s="953"/>
      <c r="K345" s="953"/>
      <c r="L345" s="953"/>
      <c r="M345" s="954"/>
    </row>
    <row r="346" spans="1:13" ht="15" customHeight="1">
      <c r="A346" s="601"/>
      <c r="B346" s="558"/>
      <c r="C346" s="953"/>
      <c r="D346" s="953"/>
      <c r="E346" s="953"/>
      <c r="F346" s="953"/>
      <c r="G346" s="953"/>
      <c r="H346" s="953"/>
      <c r="I346" s="953"/>
      <c r="J346" s="953"/>
      <c r="K346" s="953"/>
      <c r="L346" s="953"/>
      <c r="M346" s="954"/>
    </row>
    <row r="347" spans="1:13" ht="15" customHeight="1">
      <c r="A347" s="601"/>
      <c r="B347" s="558" t="s">
        <v>433</v>
      </c>
      <c r="C347" s="953" t="s">
        <v>713</v>
      </c>
      <c r="D347" s="953"/>
      <c r="E347" s="953"/>
      <c r="F347" s="953"/>
      <c r="G347" s="953"/>
      <c r="H347" s="953"/>
      <c r="I347" s="953"/>
      <c r="J347" s="953"/>
      <c r="K347" s="953"/>
      <c r="L347" s="953"/>
      <c r="M347" s="954"/>
    </row>
    <row r="348" spans="1:13" ht="15" customHeight="1">
      <c r="A348" s="601"/>
      <c r="B348" s="558"/>
      <c r="C348" s="953"/>
      <c r="D348" s="953"/>
      <c r="E348" s="953"/>
      <c r="F348" s="953"/>
      <c r="G348" s="953"/>
      <c r="H348" s="953"/>
      <c r="I348" s="953"/>
      <c r="J348" s="953"/>
      <c r="K348" s="953"/>
      <c r="L348" s="953"/>
      <c r="M348" s="954"/>
    </row>
    <row r="349" spans="1:13" ht="15" customHeight="1">
      <c r="A349" s="601"/>
      <c r="B349" s="558"/>
      <c r="C349" s="953"/>
      <c r="D349" s="953"/>
      <c r="E349" s="953"/>
      <c r="F349" s="953"/>
      <c r="G349" s="953"/>
      <c r="H349" s="953"/>
      <c r="I349" s="953"/>
      <c r="J349" s="953"/>
      <c r="K349" s="953"/>
      <c r="L349" s="953"/>
      <c r="M349" s="954"/>
    </row>
    <row r="350" spans="1:13" ht="15" customHeight="1">
      <c r="A350" s="601"/>
      <c r="B350" s="558"/>
      <c r="C350" s="953"/>
      <c r="D350" s="953"/>
      <c r="E350" s="953"/>
      <c r="F350" s="953"/>
      <c r="G350" s="953"/>
      <c r="H350" s="953"/>
      <c r="I350" s="953"/>
      <c r="J350" s="953"/>
      <c r="K350" s="953"/>
      <c r="L350" s="953"/>
      <c r="M350" s="954"/>
    </row>
    <row r="351" spans="1:13" ht="15" customHeight="1">
      <c r="A351" s="601"/>
      <c r="B351" s="558"/>
      <c r="C351" s="953"/>
      <c r="D351" s="953"/>
      <c r="E351" s="953"/>
      <c r="F351" s="953"/>
      <c r="G351" s="953"/>
      <c r="H351" s="953"/>
      <c r="I351" s="953"/>
      <c r="J351" s="953"/>
      <c r="K351" s="953"/>
      <c r="L351" s="953"/>
      <c r="M351" s="954"/>
    </row>
    <row r="352" spans="1:13" ht="15" customHeight="1">
      <c r="A352" s="601"/>
      <c r="B352" s="558"/>
      <c r="C352" s="953"/>
      <c r="D352" s="953"/>
      <c r="E352" s="953"/>
      <c r="F352" s="953"/>
      <c r="G352" s="953"/>
      <c r="H352" s="953"/>
      <c r="I352" s="953"/>
      <c r="J352" s="953"/>
      <c r="K352" s="953"/>
      <c r="L352" s="953"/>
      <c r="M352" s="954"/>
    </row>
    <row r="353" spans="1:13" ht="15" customHeight="1">
      <c r="A353" s="601"/>
      <c r="B353" s="558"/>
      <c r="C353" s="953"/>
      <c r="D353" s="953"/>
      <c r="E353" s="953"/>
      <c r="F353" s="953"/>
      <c r="G353" s="953"/>
      <c r="H353" s="953"/>
      <c r="I353" s="953"/>
      <c r="J353" s="953"/>
      <c r="K353" s="953"/>
      <c r="L353" s="953"/>
      <c r="M353" s="954"/>
    </row>
    <row r="354" spans="1:13" ht="15" customHeight="1">
      <c r="A354" s="601"/>
      <c r="B354" s="558"/>
      <c r="C354" s="953"/>
      <c r="D354" s="953"/>
      <c r="E354" s="953"/>
      <c r="F354" s="953"/>
      <c r="G354" s="953"/>
      <c r="H354" s="953"/>
      <c r="I354" s="953"/>
      <c r="J354" s="953"/>
      <c r="K354" s="953"/>
      <c r="L354" s="953"/>
      <c r="M354" s="954"/>
    </row>
    <row r="355" spans="1:13" ht="15" customHeight="1">
      <c r="A355" s="601"/>
      <c r="B355" s="558" t="s">
        <v>496</v>
      </c>
      <c r="C355" s="953" t="s">
        <v>714</v>
      </c>
      <c r="D355" s="953"/>
      <c r="E355" s="953"/>
      <c r="F355" s="953"/>
      <c r="G355" s="953"/>
      <c r="H355" s="953"/>
      <c r="I355" s="953"/>
      <c r="J355" s="953"/>
      <c r="K355" s="953"/>
      <c r="L355" s="953"/>
      <c r="M355" s="954"/>
    </row>
    <row r="356" spans="1:13" ht="15" customHeight="1">
      <c r="A356" s="601"/>
      <c r="B356" s="558"/>
      <c r="C356" s="953"/>
      <c r="D356" s="953"/>
      <c r="E356" s="953"/>
      <c r="F356" s="953"/>
      <c r="G356" s="953"/>
      <c r="H356" s="953"/>
      <c r="I356" s="953"/>
      <c r="J356" s="953"/>
      <c r="K356" s="953"/>
      <c r="L356" s="953"/>
      <c r="M356" s="954"/>
    </row>
    <row r="357" spans="1:13" ht="15" customHeight="1">
      <c r="A357" s="601"/>
      <c r="B357" s="558"/>
      <c r="C357" s="953"/>
      <c r="D357" s="953"/>
      <c r="E357" s="953"/>
      <c r="F357" s="953"/>
      <c r="G357" s="953"/>
      <c r="H357" s="953"/>
      <c r="I357" s="953"/>
      <c r="J357" s="953"/>
      <c r="K357" s="953"/>
      <c r="L357" s="953"/>
      <c r="M357" s="954"/>
    </row>
    <row r="358" spans="1:13" ht="15" customHeight="1">
      <c r="A358" s="601"/>
      <c r="B358" s="558" t="s">
        <v>498</v>
      </c>
      <c r="C358" s="953" t="s">
        <v>715</v>
      </c>
      <c r="D358" s="953"/>
      <c r="E358" s="953"/>
      <c r="F358" s="953"/>
      <c r="G358" s="953"/>
      <c r="H358" s="953"/>
      <c r="I358" s="953"/>
      <c r="J358" s="953"/>
      <c r="K358" s="953"/>
      <c r="L358" s="953"/>
      <c r="M358" s="954"/>
    </row>
    <row r="359" spans="1:13" ht="15" customHeight="1">
      <c r="A359" s="601"/>
      <c r="B359" s="558"/>
      <c r="C359" s="953"/>
      <c r="D359" s="953"/>
      <c r="E359" s="953"/>
      <c r="F359" s="953"/>
      <c r="G359" s="953"/>
      <c r="H359" s="953"/>
      <c r="I359" s="953"/>
      <c r="J359" s="953"/>
      <c r="K359" s="953"/>
      <c r="L359" s="953"/>
      <c r="M359" s="954"/>
    </row>
    <row r="360" spans="1:13" ht="15" customHeight="1">
      <c r="A360" s="601"/>
      <c r="B360" s="552"/>
      <c r="C360" s="607"/>
      <c r="D360" s="607"/>
      <c r="E360" s="552"/>
      <c r="F360" s="552"/>
      <c r="G360" s="552"/>
      <c r="H360" s="552"/>
      <c r="I360" s="552"/>
      <c r="J360" s="552"/>
      <c r="K360" s="552"/>
      <c r="L360" s="552"/>
      <c r="M360" s="583"/>
    </row>
    <row r="361" spans="1:13" ht="15" customHeight="1">
      <c r="A361" s="798" t="s">
        <v>518</v>
      </c>
      <c r="B361" s="552" t="s">
        <v>481</v>
      </c>
      <c r="C361" s="607"/>
      <c r="D361" s="607"/>
      <c r="E361" s="552"/>
      <c r="F361" s="552"/>
      <c r="G361" s="552"/>
      <c r="H361" s="552"/>
      <c r="I361" s="552"/>
      <c r="J361" s="552"/>
      <c r="K361" s="552"/>
      <c r="L361" s="552"/>
      <c r="M361" s="583"/>
    </row>
    <row r="362" spans="1:13" ht="15" customHeight="1">
      <c r="A362" s="601"/>
      <c r="B362" s="558" t="s">
        <v>437</v>
      </c>
      <c r="C362" s="953" t="s">
        <v>716</v>
      </c>
      <c r="D362" s="953"/>
      <c r="E362" s="953"/>
      <c r="F362" s="953"/>
      <c r="G362" s="953"/>
      <c r="H362" s="953"/>
      <c r="I362" s="953"/>
      <c r="J362" s="953"/>
      <c r="K362" s="953"/>
      <c r="L362" s="953"/>
      <c r="M362" s="954"/>
    </row>
    <row r="363" spans="1:13" ht="15" customHeight="1">
      <c r="A363" s="601"/>
      <c r="B363" s="558"/>
      <c r="C363" s="953"/>
      <c r="D363" s="953"/>
      <c r="E363" s="953"/>
      <c r="F363" s="953"/>
      <c r="G363" s="953"/>
      <c r="H363" s="953"/>
      <c r="I363" s="953"/>
      <c r="J363" s="953"/>
      <c r="K363" s="953"/>
      <c r="L363" s="953"/>
      <c r="M363" s="954"/>
    </row>
    <row r="364" spans="1:13" ht="15" customHeight="1">
      <c r="A364" s="601"/>
      <c r="B364" s="558"/>
      <c r="C364" s="953"/>
      <c r="D364" s="953"/>
      <c r="E364" s="953"/>
      <c r="F364" s="953"/>
      <c r="G364" s="953"/>
      <c r="H364" s="953"/>
      <c r="I364" s="953"/>
      <c r="J364" s="953"/>
      <c r="K364" s="953"/>
      <c r="L364" s="953"/>
      <c r="M364" s="954"/>
    </row>
    <row r="365" spans="1:13" ht="15" customHeight="1">
      <c r="A365" s="601"/>
      <c r="B365" s="558" t="s">
        <v>439</v>
      </c>
      <c r="C365" s="953" t="s">
        <v>717</v>
      </c>
      <c r="D365" s="953"/>
      <c r="E365" s="953"/>
      <c r="F365" s="953"/>
      <c r="G365" s="953"/>
      <c r="H365" s="953"/>
      <c r="I365" s="953"/>
      <c r="J365" s="953"/>
      <c r="K365" s="953"/>
      <c r="L365" s="953"/>
      <c r="M365" s="954"/>
    </row>
    <row r="366" spans="1:13" ht="15" customHeight="1">
      <c r="A366" s="601"/>
      <c r="B366" s="558"/>
      <c r="C366" s="953"/>
      <c r="D366" s="953"/>
      <c r="E366" s="953"/>
      <c r="F366" s="953"/>
      <c r="G366" s="953"/>
      <c r="H366" s="953"/>
      <c r="I366" s="953"/>
      <c r="J366" s="953"/>
      <c r="K366" s="953"/>
      <c r="L366" s="953"/>
      <c r="M366" s="954"/>
    </row>
    <row r="367" spans="1:13" ht="15" customHeight="1">
      <c r="A367" s="601"/>
      <c r="B367" s="558"/>
      <c r="C367" s="953"/>
      <c r="D367" s="953"/>
      <c r="E367" s="953"/>
      <c r="F367" s="953"/>
      <c r="G367" s="953"/>
      <c r="H367" s="953"/>
      <c r="I367" s="953"/>
      <c r="J367" s="953"/>
      <c r="K367" s="953"/>
      <c r="L367" s="953"/>
      <c r="M367" s="954"/>
    </row>
    <row r="368" spans="1:13" ht="15" customHeight="1">
      <c r="A368" s="601"/>
      <c r="B368" s="558"/>
      <c r="C368" s="953"/>
      <c r="D368" s="953"/>
      <c r="E368" s="953"/>
      <c r="F368" s="953"/>
      <c r="G368" s="953"/>
      <c r="H368" s="953"/>
      <c r="I368" s="953"/>
      <c r="J368" s="953"/>
      <c r="K368" s="953"/>
      <c r="L368" s="953"/>
      <c r="M368" s="954"/>
    </row>
    <row r="369" spans="1:13" ht="15" customHeight="1">
      <c r="A369" s="601"/>
      <c r="B369" s="558" t="s">
        <v>431</v>
      </c>
      <c r="C369" s="953" t="s">
        <v>718</v>
      </c>
      <c r="D369" s="953"/>
      <c r="E369" s="953"/>
      <c r="F369" s="953"/>
      <c r="G369" s="953"/>
      <c r="H369" s="953"/>
      <c r="I369" s="953"/>
      <c r="J369" s="953"/>
      <c r="K369" s="953"/>
      <c r="L369" s="953"/>
      <c r="M369" s="954"/>
    </row>
    <row r="370" spans="1:13" ht="15" customHeight="1">
      <c r="A370" s="601"/>
      <c r="B370" s="558"/>
      <c r="C370" s="953"/>
      <c r="D370" s="953"/>
      <c r="E370" s="953"/>
      <c r="F370" s="953"/>
      <c r="G370" s="953"/>
      <c r="H370" s="953"/>
      <c r="I370" s="953"/>
      <c r="J370" s="953"/>
      <c r="K370" s="953"/>
      <c r="L370" s="953"/>
      <c r="M370" s="954"/>
    </row>
    <row r="371" spans="1:13" ht="15" customHeight="1">
      <c r="A371" s="601"/>
      <c r="B371" s="558" t="s">
        <v>433</v>
      </c>
      <c r="C371" s="953" t="s">
        <v>719</v>
      </c>
      <c r="D371" s="953"/>
      <c r="E371" s="953"/>
      <c r="F371" s="953"/>
      <c r="G371" s="953"/>
      <c r="H371" s="953"/>
      <c r="I371" s="953"/>
      <c r="J371" s="953"/>
      <c r="K371" s="953"/>
      <c r="L371" s="953"/>
      <c r="M371" s="954"/>
    </row>
    <row r="372" spans="1:13" ht="15" customHeight="1">
      <c r="A372" s="601"/>
      <c r="B372" s="558"/>
      <c r="C372" s="953"/>
      <c r="D372" s="953"/>
      <c r="E372" s="953"/>
      <c r="F372" s="953"/>
      <c r="G372" s="953"/>
      <c r="H372" s="953"/>
      <c r="I372" s="953"/>
      <c r="J372" s="953"/>
      <c r="K372" s="953"/>
      <c r="L372" s="953"/>
      <c r="M372" s="954"/>
    </row>
    <row r="373" spans="1:13" ht="15" customHeight="1">
      <c r="A373" s="601"/>
      <c r="B373" s="558" t="s">
        <v>496</v>
      </c>
      <c r="C373" s="953" t="s">
        <v>720</v>
      </c>
      <c r="D373" s="953"/>
      <c r="E373" s="953"/>
      <c r="F373" s="953"/>
      <c r="G373" s="953"/>
      <c r="H373" s="953"/>
      <c r="I373" s="953"/>
      <c r="J373" s="953"/>
      <c r="K373" s="953"/>
      <c r="L373" s="953"/>
      <c r="M373" s="954"/>
    </row>
    <row r="374" spans="1:13" ht="15" customHeight="1">
      <c r="A374" s="601"/>
      <c r="B374" s="558"/>
      <c r="C374" s="953"/>
      <c r="D374" s="953"/>
      <c r="E374" s="953"/>
      <c r="F374" s="953"/>
      <c r="G374" s="953"/>
      <c r="H374" s="953"/>
      <c r="I374" s="953"/>
      <c r="J374" s="953"/>
      <c r="K374" s="953"/>
      <c r="L374" s="953"/>
      <c r="M374" s="954"/>
    </row>
    <row r="375" spans="1:13" ht="15" customHeight="1">
      <c r="A375" s="608"/>
      <c r="B375" s="555"/>
      <c r="C375" s="610"/>
      <c r="D375" s="610"/>
      <c r="E375" s="555"/>
      <c r="F375" s="555"/>
      <c r="G375" s="555"/>
      <c r="H375" s="555"/>
      <c r="I375" s="555"/>
      <c r="J375" s="555"/>
      <c r="K375" s="555"/>
      <c r="L375" s="555"/>
      <c r="M375" s="585"/>
    </row>
    <row r="376" spans="1:13" ht="15" customHeight="1">
      <c r="A376" s="800" t="s">
        <v>537</v>
      </c>
      <c r="B376" s="550" t="s">
        <v>491</v>
      </c>
      <c r="C376" s="609"/>
      <c r="D376" s="609"/>
      <c r="E376" s="550"/>
      <c r="F376" s="550"/>
      <c r="G376" s="550"/>
      <c r="H376" s="550"/>
      <c r="I376" s="550"/>
      <c r="J376" s="550"/>
      <c r="K376" s="550"/>
      <c r="L376" s="550"/>
      <c r="M376" s="581"/>
    </row>
    <row r="377" spans="1:13" ht="15" customHeight="1">
      <c r="A377" s="601"/>
      <c r="B377" s="558" t="s">
        <v>437</v>
      </c>
      <c r="C377" s="953" t="s">
        <v>721</v>
      </c>
      <c r="D377" s="953"/>
      <c r="E377" s="953"/>
      <c r="F377" s="953"/>
      <c r="G377" s="953"/>
      <c r="H377" s="953"/>
      <c r="I377" s="953"/>
      <c r="J377" s="953"/>
      <c r="K377" s="953"/>
      <c r="L377" s="953"/>
      <c r="M377" s="954"/>
    </row>
    <row r="378" spans="1:13" ht="15" customHeight="1">
      <c r="A378" s="601"/>
      <c r="B378" s="558"/>
      <c r="C378" s="953"/>
      <c r="D378" s="953"/>
      <c r="E378" s="953"/>
      <c r="F378" s="953"/>
      <c r="G378" s="953"/>
      <c r="H378" s="953"/>
      <c r="I378" s="953"/>
      <c r="J378" s="953"/>
      <c r="K378" s="953"/>
      <c r="L378" s="953"/>
      <c r="M378" s="954"/>
    </row>
    <row r="379" spans="1:13" ht="15" customHeight="1">
      <c r="A379" s="601"/>
      <c r="B379" s="558"/>
      <c r="C379" s="953"/>
      <c r="D379" s="953"/>
      <c r="E379" s="953"/>
      <c r="F379" s="953"/>
      <c r="G379" s="953"/>
      <c r="H379" s="953"/>
      <c r="I379" s="953"/>
      <c r="J379" s="953"/>
      <c r="K379" s="953"/>
      <c r="L379" s="953"/>
      <c r="M379" s="954"/>
    </row>
    <row r="380" spans="1:13" ht="15" customHeight="1">
      <c r="A380" s="601"/>
      <c r="B380" s="558" t="s">
        <v>439</v>
      </c>
      <c r="C380" s="953" t="s">
        <v>722</v>
      </c>
      <c r="D380" s="953"/>
      <c r="E380" s="953"/>
      <c r="F380" s="953"/>
      <c r="G380" s="953"/>
      <c r="H380" s="953"/>
      <c r="I380" s="953"/>
      <c r="J380" s="953"/>
      <c r="K380" s="953"/>
      <c r="L380" s="953"/>
      <c r="M380" s="954"/>
    </row>
    <row r="381" spans="1:13" ht="15" customHeight="1">
      <c r="A381" s="601"/>
      <c r="B381" s="558"/>
      <c r="C381" s="953"/>
      <c r="D381" s="953"/>
      <c r="E381" s="953"/>
      <c r="F381" s="953"/>
      <c r="G381" s="953"/>
      <c r="H381" s="953"/>
      <c r="I381" s="953"/>
      <c r="J381" s="953"/>
      <c r="K381" s="953"/>
      <c r="L381" s="953"/>
      <c r="M381" s="954"/>
    </row>
    <row r="382" spans="1:13" ht="15" customHeight="1">
      <c r="A382" s="601"/>
      <c r="B382" s="558" t="s">
        <v>431</v>
      </c>
      <c r="C382" s="953" t="s">
        <v>723</v>
      </c>
      <c r="D382" s="953"/>
      <c r="E382" s="953"/>
      <c r="F382" s="953"/>
      <c r="G382" s="953"/>
      <c r="H382" s="953"/>
      <c r="I382" s="953"/>
      <c r="J382" s="953"/>
      <c r="K382" s="953"/>
      <c r="L382" s="953"/>
      <c r="M382" s="954"/>
    </row>
    <row r="383" spans="1:13" ht="15" customHeight="1">
      <c r="A383" s="601"/>
      <c r="B383" s="558"/>
      <c r="C383" s="953"/>
      <c r="D383" s="953"/>
      <c r="E383" s="953"/>
      <c r="F383" s="953"/>
      <c r="G383" s="953"/>
      <c r="H383" s="953"/>
      <c r="I383" s="953"/>
      <c r="J383" s="953"/>
      <c r="K383" s="953"/>
      <c r="L383" s="953"/>
      <c r="M383" s="954"/>
    </row>
    <row r="384" spans="1:13" ht="15" customHeight="1">
      <c r="A384" s="601"/>
      <c r="B384" s="558" t="s">
        <v>433</v>
      </c>
      <c r="C384" s="953" t="s">
        <v>724</v>
      </c>
      <c r="D384" s="953"/>
      <c r="E384" s="953"/>
      <c r="F384" s="953"/>
      <c r="G384" s="953"/>
      <c r="H384" s="953"/>
      <c r="I384" s="953"/>
      <c r="J384" s="953"/>
      <c r="K384" s="953"/>
      <c r="L384" s="953"/>
      <c r="M384" s="954"/>
    </row>
    <row r="385" spans="1:13" ht="15" customHeight="1">
      <c r="A385" s="601"/>
      <c r="B385" s="558"/>
      <c r="C385" s="953"/>
      <c r="D385" s="953"/>
      <c r="E385" s="953"/>
      <c r="F385" s="953"/>
      <c r="G385" s="953"/>
      <c r="H385" s="953"/>
      <c r="I385" s="953"/>
      <c r="J385" s="953"/>
      <c r="K385" s="953"/>
      <c r="L385" s="953"/>
      <c r="M385" s="954"/>
    </row>
    <row r="386" spans="1:13" ht="15" customHeight="1">
      <c r="A386" s="601"/>
      <c r="B386" s="558"/>
      <c r="C386" s="953"/>
      <c r="D386" s="953"/>
      <c r="E386" s="953"/>
      <c r="F386" s="953"/>
      <c r="G386" s="953"/>
      <c r="H386" s="953"/>
      <c r="I386" s="953"/>
      <c r="J386" s="953"/>
      <c r="K386" s="953"/>
      <c r="L386" s="953"/>
      <c r="M386" s="954"/>
    </row>
    <row r="387" spans="1:13" ht="15" customHeight="1">
      <c r="A387" s="601"/>
      <c r="B387" s="558"/>
      <c r="C387" s="953"/>
      <c r="D387" s="953"/>
      <c r="E387" s="953"/>
      <c r="F387" s="953"/>
      <c r="G387" s="953"/>
      <c r="H387" s="953"/>
      <c r="I387" s="953"/>
      <c r="J387" s="953"/>
      <c r="K387" s="953"/>
      <c r="L387" s="953"/>
      <c r="M387" s="954"/>
    </row>
    <row r="388" spans="1:13" ht="15" customHeight="1">
      <c r="A388" s="601"/>
      <c r="B388" s="558" t="s">
        <v>496</v>
      </c>
      <c r="C388" s="953" t="s">
        <v>725</v>
      </c>
      <c r="D388" s="953"/>
      <c r="E388" s="953"/>
      <c r="F388" s="953"/>
      <c r="G388" s="953"/>
      <c r="H388" s="953"/>
      <c r="I388" s="953"/>
      <c r="J388" s="953"/>
      <c r="K388" s="953"/>
      <c r="L388" s="953"/>
      <c r="M388" s="954"/>
    </row>
    <row r="389" spans="1:13" ht="15" customHeight="1">
      <c r="A389" s="601"/>
      <c r="B389" s="558"/>
      <c r="C389" s="953"/>
      <c r="D389" s="953"/>
      <c r="E389" s="953"/>
      <c r="F389" s="953"/>
      <c r="G389" s="953"/>
      <c r="H389" s="953"/>
      <c r="I389" s="953"/>
      <c r="J389" s="953"/>
      <c r="K389" s="953"/>
      <c r="L389" s="953"/>
      <c r="M389" s="954"/>
    </row>
    <row r="390" spans="1:13" ht="15" customHeight="1">
      <c r="A390" s="601"/>
      <c r="B390" s="558"/>
      <c r="C390" s="953"/>
      <c r="D390" s="953"/>
      <c r="E390" s="953"/>
      <c r="F390" s="953"/>
      <c r="G390" s="953"/>
      <c r="H390" s="953"/>
      <c r="I390" s="953"/>
      <c r="J390" s="953"/>
      <c r="K390" s="953"/>
      <c r="L390" s="953"/>
      <c r="M390" s="954"/>
    </row>
    <row r="391" spans="1:13" ht="15" customHeight="1">
      <c r="A391" s="601"/>
      <c r="B391" s="558" t="s">
        <v>498</v>
      </c>
      <c r="C391" s="953" t="s">
        <v>726</v>
      </c>
      <c r="D391" s="953"/>
      <c r="E391" s="953"/>
      <c r="F391" s="953"/>
      <c r="G391" s="953"/>
      <c r="H391" s="953"/>
      <c r="I391" s="953"/>
      <c r="J391" s="953"/>
      <c r="K391" s="953"/>
      <c r="L391" s="953"/>
      <c r="M391" s="954"/>
    </row>
    <row r="392" spans="1:13" ht="15" customHeight="1">
      <c r="A392" s="601"/>
      <c r="B392" s="558"/>
      <c r="C392" s="953"/>
      <c r="D392" s="953"/>
      <c r="E392" s="953"/>
      <c r="F392" s="953"/>
      <c r="G392" s="953"/>
      <c r="H392" s="953"/>
      <c r="I392" s="953"/>
      <c r="J392" s="953"/>
      <c r="K392" s="953"/>
      <c r="L392" s="953"/>
      <c r="M392" s="954"/>
    </row>
    <row r="393" spans="1:13" ht="15" customHeight="1">
      <c r="A393" s="601"/>
      <c r="B393" s="558"/>
      <c r="C393" s="953"/>
      <c r="D393" s="953"/>
      <c r="E393" s="953"/>
      <c r="F393" s="953"/>
      <c r="G393" s="953"/>
      <c r="H393" s="953"/>
      <c r="I393" s="953"/>
      <c r="J393" s="953"/>
      <c r="K393" s="953"/>
      <c r="L393" s="953"/>
      <c r="M393" s="954"/>
    </row>
    <row r="394" spans="1:13" ht="15" customHeight="1">
      <c r="A394" s="601"/>
      <c r="B394" s="558"/>
      <c r="C394" s="953"/>
      <c r="D394" s="953"/>
      <c r="E394" s="953"/>
      <c r="F394" s="953"/>
      <c r="G394" s="953"/>
      <c r="H394" s="953"/>
      <c r="I394" s="953"/>
      <c r="J394" s="953"/>
      <c r="K394" s="953"/>
      <c r="L394" s="953"/>
      <c r="M394" s="954"/>
    </row>
    <row r="395" spans="1:13" ht="15" customHeight="1">
      <c r="A395" s="601"/>
      <c r="B395" s="552"/>
      <c r="C395" s="607"/>
      <c r="D395" s="607"/>
      <c r="E395" s="552"/>
      <c r="F395" s="552"/>
      <c r="G395" s="552"/>
      <c r="H395" s="552"/>
      <c r="I395" s="552"/>
      <c r="J395" s="552"/>
      <c r="K395" s="552"/>
      <c r="L395" s="552"/>
      <c r="M395" s="583"/>
    </row>
    <row r="396" spans="1:13" ht="15" customHeight="1">
      <c r="A396" s="798" t="s">
        <v>541</v>
      </c>
      <c r="B396" s="552" t="s">
        <v>727</v>
      </c>
      <c r="C396" s="607"/>
      <c r="D396" s="607"/>
      <c r="E396" s="552"/>
      <c r="F396" s="552"/>
      <c r="G396" s="552"/>
      <c r="H396" s="552"/>
      <c r="I396" s="552"/>
      <c r="J396" s="552"/>
      <c r="K396" s="552"/>
      <c r="L396" s="552"/>
      <c r="M396" s="583"/>
    </row>
    <row r="397" spans="1:13" ht="15" customHeight="1">
      <c r="A397" s="601"/>
      <c r="B397" s="558" t="s">
        <v>437</v>
      </c>
      <c r="C397" s="953" t="s">
        <v>728</v>
      </c>
      <c r="D397" s="953"/>
      <c r="E397" s="953"/>
      <c r="F397" s="953"/>
      <c r="G397" s="953"/>
      <c r="H397" s="953"/>
      <c r="I397" s="953"/>
      <c r="J397" s="953"/>
      <c r="K397" s="953"/>
      <c r="L397" s="953"/>
      <c r="M397" s="954"/>
    </row>
    <row r="398" spans="1:13" ht="15" customHeight="1">
      <c r="A398" s="601"/>
      <c r="B398" s="558"/>
      <c r="C398" s="953"/>
      <c r="D398" s="953"/>
      <c r="E398" s="953"/>
      <c r="F398" s="953"/>
      <c r="G398" s="953"/>
      <c r="H398" s="953"/>
      <c r="I398" s="953"/>
      <c r="J398" s="953"/>
      <c r="K398" s="953"/>
      <c r="L398" s="953"/>
      <c r="M398" s="954"/>
    </row>
    <row r="399" spans="1:13" ht="15" customHeight="1">
      <c r="A399" s="601"/>
      <c r="B399" s="558" t="s">
        <v>439</v>
      </c>
      <c r="C399" s="953" t="s">
        <v>729</v>
      </c>
      <c r="D399" s="953"/>
      <c r="E399" s="953"/>
      <c r="F399" s="953"/>
      <c r="G399" s="953"/>
      <c r="H399" s="953"/>
      <c r="I399" s="953"/>
      <c r="J399" s="953"/>
      <c r="K399" s="953"/>
      <c r="L399" s="953"/>
      <c r="M399" s="954"/>
    </row>
    <row r="400" spans="1:13" ht="15" customHeight="1">
      <c r="A400" s="601"/>
      <c r="B400" s="558" t="s">
        <v>431</v>
      </c>
      <c r="C400" s="953" t="s">
        <v>730</v>
      </c>
      <c r="D400" s="953"/>
      <c r="E400" s="953"/>
      <c r="F400" s="953"/>
      <c r="G400" s="953"/>
      <c r="H400" s="953"/>
      <c r="I400" s="953"/>
      <c r="J400" s="953"/>
      <c r="K400" s="953"/>
      <c r="L400" s="953"/>
      <c r="M400" s="954"/>
    </row>
    <row r="401" spans="1:13" ht="15" customHeight="1">
      <c r="A401" s="601"/>
      <c r="B401" s="558"/>
      <c r="C401" s="953"/>
      <c r="D401" s="953"/>
      <c r="E401" s="953"/>
      <c r="F401" s="953"/>
      <c r="G401" s="953"/>
      <c r="H401" s="953"/>
      <c r="I401" s="953"/>
      <c r="J401" s="953"/>
      <c r="K401" s="953"/>
      <c r="L401" s="953"/>
      <c r="M401" s="954"/>
    </row>
    <row r="402" spans="1:13" ht="15" customHeight="1">
      <c r="A402" s="601"/>
      <c r="B402" s="558" t="s">
        <v>433</v>
      </c>
      <c r="C402" s="953" t="s">
        <v>731</v>
      </c>
      <c r="D402" s="953"/>
      <c r="E402" s="953"/>
      <c r="F402" s="953"/>
      <c r="G402" s="953"/>
      <c r="H402" s="953"/>
      <c r="I402" s="953"/>
      <c r="J402" s="953"/>
      <c r="K402" s="953"/>
      <c r="L402" s="953"/>
      <c r="M402" s="954"/>
    </row>
    <row r="403" spans="1:13" ht="15" customHeight="1">
      <c r="A403" s="601"/>
      <c r="B403" s="558"/>
      <c r="C403" s="953"/>
      <c r="D403" s="953"/>
      <c r="E403" s="953"/>
      <c r="F403" s="953"/>
      <c r="G403" s="953"/>
      <c r="H403" s="953"/>
      <c r="I403" s="953"/>
      <c r="J403" s="953"/>
      <c r="K403" s="953"/>
      <c r="L403" s="953"/>
      <c r="M403" s="954"/>
    </row>
    <row r="404" spans="1:13" ht="15" customHeight="1">
      <c r="A404" s="601"/>
      <c r="B404" s="558"/>
      <c r="C404" s="953"/>
      <c r="D404" s="953"/>
      <c r="E404" s="953"/>
      <c r="F404" s="953"/>
      <c r="G404" s="953"/>
      <c r="H404" s="953"/>
      <c r="I404" s="953"/>
      <c r="J404" s="953"/>
      <c r="K404" s="953"/>
      <c r="L404" s="953"/>
      <c r="M404" s="954"/>
    </row>
    <row r="405" spans="1:13" ht="15" customHeight="1">
      <c r="A405" s="601"/>
      <c r="B405" s="558" t="s">
        <v>496</v>
      </c>
      <c r="C405" s="953" t="s">
        <v>732</v>
      </c>
      <c r="D405" s="953"/>
      <c r="E405" s="953"/>
      <c r="F405" s="953"/>
      <c r="G405" s="953"/>
      <c r="H405" s="953"/>
      <c r="I405" s="953"/>
      <c r="J405" s="953"/>
      <c r="K405" s="953"/>
      <c r="L405" s="953"/>
      <c r="M405" s="954"/>
    </row>
    <row r="406" spans="1:13" ht="15" customHeight="1">
      <c r="A406" s="601"/>
      <c r="B406" s="558"/>
      <c r="C406" s="953"/>
      <c r="D406" s="953"/>
      <c r="E406" s="953"/>
      <c r="F406" s="953"/>
      <c r="G406" s="953"/>
      <c r="H406" s="953"/>
      <c r="I406" s="953"/>
      <c r="J406" s="953"/>
      <c r="K406" s="953"/>
      <c r="L406" s="953"/>
      <c r="M406" s="954"/>
    </row>
    <row r="407" spans="1:13" ht="15" customHeight="1">
      <c r="A407" s="601"/>
      <c r="B407" s="558" t="s">
        <v>498</v>
      </c>
      <c r="C407" s="953" t="s">
        <v>733</v>
      </c>
      <c r="D407" s="953"/>
      <c r="E407" s="953"/>
      <c r="F407" s="953"/>
      <c r="G407" s="953"/>
      <c r="H407" s="953"/>
      <c r="I407" s="953"/>
      <c r="J407" s="953"/>
      <c r="K407" s="953"/>
      <c r="L407" s="953"/>
      <c r="M407" s="954"/>
    </row>
    <row r="408" spans="1:13" ht="15" customHeight="1">
      <c r="A408" s="601"/>
      <c r="B408" s="558"/>
      <c r="C408" s="953"/>
      <c r="D408" s="953"/>
      <c r="E408" s="953"/>
      <c r="F408" s="953"/>
      <c r="G408" s="953"/>
      <c r="H408" s="953"/>
      <c r="I408" s="953"/>
      <c r="J408" s="953"/>
      <c r="K408" s="953"/>
      <c r="L408" s="953"/>
      <c r="M408" s="954"/>
    </row>
    <row r="409" spans="1:13" ht="15" customHeight="1">
      <c r="A409" s="601"/>
      <c r="B409" s="558"/>
      <c r="C409" s="953"/>
      <c r="D409" s="953"/>
      <c r="E409" s="953"/>
      <c r="F409" s="953"/>
      <c r="G409" s="953"/>
      <c r="H409" s="953"/>
      <c r="I409" s="953"/>
      <c r="J409" s="953"/>
      <c r="K409" s="953"/>
      <c r="L409" s="953"/>
      <c r="M409" s="954"/>
    </row>
    <row r="410" spans="1:13" ht="15" customHeight="1">
      <c r="A410" s="601"/>
      <c r="B410" s="558" t="s">
        <v>598</v>
      </c>
      <c r="C410" s="953" t="s">
        <v>734</v>
      </c>
      <c r="D410" s="953"/>
      <c r="E410" s="953"/>
      <c r="F410" s="953"/>
      <c r="G410" s="953"/>
      <c r="H410" s="953"/>
      <c r="I410" s="953"/>
      <c r="J410" s="953"/>
      <c r="K410" s="953"/>
      <c r="L410" s="953"/>
      <c r="M410" s="954"/>
    </row>
    <row r="411" spans="1:13" ht="15" customHeight="1">
      <c r="A411" s="601"/>
      <c r="B411" s="558"/>
      <c r="C411" s="953"/>
      <c r="D411" s="953"/>
      <c r="E411" s="953"/>
      <c r="F411" s="953"/>
      <c r="G411" s="953"/>
      <c r="H411" s="953"/>
      <c r="I411" s="953"/>
      <c r="J411" s="953"/>
      <c r="K411" s="953"/>
      <c r="L411" s="953"/>
      <c r="M411" s="954"/>
    </row>
    <row r="412" spans="1:13" ht="15" customHeight="1">
      <c r="A412" s="601"/>
      <c r="B412" s="552"/>
      <c r="C412" s="607"/>
      <c r="D412" s="607"/>
      <c r="E412" s="552"/>
      <c r="F412" s="552"/>
      <c r="G412" s="552"/>
      <c r="H412" s="552"/>
      <c r="I412" s="552"/>
      <c r="J412" s="552"/>
      <c r="K412" s="552"/>
      <c r="L412" s="552"/>
      <c r="M412" s="583"/>
    </row>
    <row r="413" spans="1:13" ht="15" customHeight="1">
      <c r="A413" s="798" t="s">
        <v>564</v>
      </c>
      <c r="B413" s="552" t="s">
        <v>509</v>
      </c>
      <c r="C413" s="607"/>
      <c r="D413" s="607"/>
      <c r="E413" s="552"/>
      <c r="F413" s="552"/>
      <c r="G413" s="552"/>
      <c r="H413" s="552"/>
      <c r="I413" s="552"/>
      <c r="J413" s="552"/>
      <c r="K413" s="552"/>
      <c r="L413" s="552"/>
      <c r="M413" s="583"/>
    </row>
    <row r="414" spans="1:13" ht="15" customHeight="1">
      <c r="A414" s="601"/>
      <c r="B414" s="558" t="s">
        <v>437</v>
      </c>
      <c r="C414" s="953" t="s">
        <v>510</v>
      </c>
      <c r="D414" s="953"/>
      <c r="E414" s="953"/>
      <c r="F414" s="953"/>
      <c r="G414" s="953"/>
      <c r="H414" s="953"/>
      <c r="I414" s="953"/>
      <c r="J414" s="953"/>
      <c r="K414" s="953"/>
      <c r="L414" s="953"/>
      <c r="M414" s="954"/>
    </row>
    <row r="415" spans="1:13" ht="15" customHeight="1">
      <c r="A415" s="601"/>
      <c r="B415" s="558" t="s">
        <v>429</v>
      </c>
      <c r="C415" s="953" t="s">
        <v>735</v>
      </c>
      <c r="D415" s="953"/>
      <c r="E415" s="953"/>
      <c r="F415" s="953"/>
      <c r="G415" s="953"/>
      <c r="H415" s="953"/>
      <c r="I415" s="953"/>
      <c r="J415" s="953"/>
      <c r="K415" s="953"/>
      <c r="L415" s="953"/>
      <c r="M415" s="954"/>
    </row>
    <row r="416" spans="1:13" ht="15" customHeight="1">
      <c r="A416" s="601"/>
      <c r="B416" s="558"/>
      <c r="C416" s="953"/>
      <c r="D416" s="953"/>
      <c r="E416" s="953"/>
      <c r="F416" s="953"/>
      <c r="G416" s="953"/>
      <c r="H416" s="953"/>
      <c r="I416" s="953"/>
      <c r="J416" s="953"/>
      <c r="K416" s="953"/>
      <c r="L416" s="953"/>
      <c r="M416" s="954"/>
    </row>
    <row r="417" spans="1:15" ht="15" customHeight="1">
      <c r="A417" s="601"/>
      <c r="B417" s="558"/>
      <c r="C417" s="558" t="s">
        <v>459</v>
      </c>
      <c r="D417" s="953" t="s">
        <v>736</v>
      </c>
      <c r="E417" s="953"/>
      <c r="F417" s="953"/>
      <c r="G417" s="953"/>
      <c r="H417" s="953"/>
      <c r="I417" s="953"/>
      <c r="J417" s="953"/>
      <c r="K417" s="953"/>
      <c r="L417" s="953"/>
      <c r="M417" s="954"/>
    </row>
    <row r="418" spans="1:15" ht="15" customHeight="1">
      <c r="A418" s="601"/>
      <c r="B418" s="558"/>
      <c r="C418" s="558" t="s">
        <v>461</v>
      </c>
      <c r="D418" s="953" t="s">
        <v>737</v>
      </c>
      <c r="E418" s="953"/>
      <c r="F418" s="953"/>
      <c r="G418" s="953"/>
      <c r="H418" s="953"/>
      <c r="I418" s="953"/>
      <c r="J418" s="953"/>
      <c r="K418" s="953"/>
      <c r="L418" s="953"/>
      <c r="M418" s="954"/>
    </row>
    <row r="419" spans="1:15" ht="15" customHeight="1">
      <c r="A419" s="601"/>
      <c r="B419" s="558"/>
      <c r="C419" s="558" t="s">
        <v>469</v>
      </c>
      <c r="D419" s="953" t="s">
        <v>738</v>
      </c>
      <c r="E419" s="953"/>
      <c r="F419" s="953"/>
      <c r="G419" s="953"/>
      <c r="H419" s="953"/>
      <c r="I419" s="953"/>
      <c r="J419" s="953"/>
      <c r="K419" s="953"/>
      <c r="L419" s="953"/>
      <c r="M419" s="954"/>
    </row>
    <row r="420" spans="1:15" ht="15" customHeight="1">
      <c r="A420" s="601"/>
      <c r="B420" s="558"/>
      <c r="C420" s="558" t="s">
        <v>515</v>
      </c>
      <c r="D420" s="953" t="s">
        <v>739</v>
      </c>
      <c r="E420" s="953"/>
      <c r="F420" s="953"/>
      <c r="G420" s="953"/>
      <c r="H420" s="953"/>
      <c r="I420" s="953"/>
      <c r="J420" s="953"/>
      <c r="K420" s="953"/>
      <c r="L420" s="953"/>
      <c r="M420" s="954"/>
    </row>
    <row r="421" spans="1:15" ht="15" customHeight="1">
      <c r="A421" s="601"/>
      <c r="B421" s="558" t="s">
        <v>431</v>
      </c>
      <c r="C421" s="953" t="s">
        <v>740</v>
      </c>
      <c r="D421" s="953"/>
      <c r="E421" s="953"/>
      <c r="F421" s="953"/>
      <c r="G421" s="953"/>
      <c r="H421" s="953"/>
      <c r="I421" s="953"/>
      <c r="J421" s="953"/>
      <c r="K421" s="953"/>
      <c r="L421" s="953"/>
      <c r="M421" s="954"/>
    </row>
    <row r="422" spans="1:15" ht="15" customHeight="1">
      <c r="A422" s="601"/>
      <c r="B422" s="558"/>
      <c r="C422" s="953"/>
      <c r="D422" s="953"/>
      <c r="E422" s="953"/>
      <c r="F422" s="953"/>
      <c r="G422" s="953"/>
      <c r="H422" s="953"/>
      <c r="I422" s="953"/>
      <c r="J422" s="953"/>
      <c r="K422" s="953"/>
      <c r="L422" s="953"/>
      <c r="M422" s="954"/>
    </row>
    <row r="423" spans="1:15" ht="15" customHeight="1">
      <c r="A423" s="608"/>
      <c r="B423" s="555"/>
      <c r="C423" s="610"/>
      <c r="D423" s="610"/>
      <c r="E423" s="555"/>
      <c r="F423" s="555"/>
      <c r="G423" s="555"/>
      <c r="H423" s="555"/>
      <c r="I423" s="555"/>
      <c r="J423" s="555"/>
      <c r="K423" s="555"/>
      <c r="L423" s="555"/>
      <c r="M423" s="585"/>
    </row>
    <row r="424" spans="1:15" ht="15" customHeight="1">
      <c r="A424" s="800" t="s">
        <v>573</v>
      </c>
      <c r="B424" s="550" t="s">
        <v>741</v>
      </c>
      <c r="C424" s="609"/>
      <c r="D424" s="609"/>
      <c r="E424" s="550"/>
      <c r="F424" s="550"/>
      <c r="G424" s="550"/>
      <c r="H424" s="550"/>
      <c r="I424" s="550"/>
      <c r="J424" s="550"/>
      <c r="K424" s="550"/>
      <c r="L424" s="550"/>
      <c r="M424" s="581"/>
    </row>
    <row r="425" spans="1:15" ht="15" customHeight="1">
      <c r="A425" s="601"/>
      <c r="B425" s="558" t="s">
        <v>437</v>
      </c>
      <c r="C425" s="953" t="s">
        <v>742</v>
      </c>
      <c r="D425" s="953"/>
      <c r="E425" s="953"/>
      <c r="F425" s="953"/>
      <c r="G425" s="953"/>
      <c r="H425" s="953"/>
      <c r="I425" s="953"/>
      <c r="J425" s="953"/>
      <c r="K425" s="953"/>
      <c r="L425" s="953"/>
      <c r="M425" s="954"/>
    </row>
    <row r="426" spans="1:15" ht="15" customHeight="1">
      <c r="A426" s="601"/>
      <c r="B426" s="558"/>
      <c r="C426" s="953"/>
      <c r="D426" s="953"/>
      <c r="E426" s="953"/>
      <c r="F426" s="953"/>
      <c r="G426" s="953"/>
      <c r="H426" s="953"/>
      <c r="I426" s="953"/>
      <c r="J426" s="953"/>
      <c r="K426" s="953"/>
      <c r="L426" s="953"/>
      <c r="M426" s="954"/>
    </row>
    <row r="427" spans="1:15" ht="15" customHeight="1">
      <c r="A427" s="601"/>
      <c r="B427" s="558"/>
      <c r="C427" s="558" t="s">
        <v>459</v>
      </c>
      <c r="D427" s="953" t="str">
        <f>IF(hsls="Lumsum","menambah dan/atau mengurangi jenis/jumlah keluaran;","menambah atau mengurangi volume yang tercantum dalam Kontrak;")</f>
        <v>menambah dan/atau mengurangi jenis/jumlah keluaran;</v>
      </c>
      <c r="E427" s="953"/>
      <c r="F427" s="953"/>
      <c r="G427" s="953"/>
      <c r="H427" s="953"/>
      <c r="I427" s="953"/>
      <c r="J427" s="953"/>
      <c r="K427" s="953"/>
      <c r="L427" s="953"/>
      <c r="M427" s="954"/>
      <c r="O427" s="586" t="s">
        <v>428</v>
      </c>
    </row>
    <row r="428" spans="1:15" ht="15" customHeight="1">
      <c r="A428" s="601"/>
      <c r="B428" s="558"/>
      <c r="C428" s="558" t="s">
        <v>461</v>
      </c>
      <c r="D428" s="953" t="s">
        <v>743</v>
      </c>
      <c r="E428" s="953"/>
      <c r="F428" s="953"/>
      <c r="G428" s="953"/>
      <c r="H428" s="953"/>
      <c r="I428" s="953"/>
      <c r="J428" s="953"/>
      <c r="K428" s="953"/>
      <c r="L428" s="953"/>
      <c r="M428" s="954"/>
    </row>
    <row r="429" spans="1:15" ht="15" customHeight="1">
      <c r="A429" s="601"/>
      <c r="B429" s="558"/>
      <c r="C429" s="558" t="s">
        <v>469</v>
      </c>
      <c r="D429" s="953" t="s">
        <v>744</v>
      </c>
      <c r="E429" s="953"/>
      <c r="F429" s="953"/>
      <c r="G429" s="953"/>
      <c r="H429" s="953"/>
      <c r="I429" s="953"/>
      <c r="J429" s="953"/>
      <c r="K429" s="953"/>
      <c r="L429" s="953"/>
      <c r="M429" s="954"/>
    </row>
    <row r="430" spans="1:15" ht="15" customHeight="1">
      <c r="A430" s="601"/>
      <c r="B430" s="558"/>
      <c r="C430" s="558" t="s">
        <v>515</v>
      </c>
      <c r="D430" s="953" t="s">
        <v>516</v>
      </c>
      <c r="E430" s="953"/>
      <c r="F430" s="953"/>
      <c r="G430" s="953"/>
      <c r="H430" s="953"/>
      <c r="I430" s="953"/>
      <c r="J430" s="953"/>
      <c r="K430" s="953"/>
      <c r="L430" s="953"/>
      <c r="M430" s="954"/>
    </row>
    <row r="431" spans="1:15" ht="15" customHeight="1">
      <c r="A431" s="601"/>
      <c r="B431" s="558" t="s">
        <v>439</v>
      </c>
      <c r="C431" s="953" t="s">
        <v>745</v>
      </c>
      <c r="D431" s="953"/>
      <c r="E431" s="953"/>
      <c r="F431" s="953"/>
      <c r="G431" s="953"/>
      <c r="H431" s="953"/>
      <c r="I431" s="953"/>
      <c r="J431" s="953"/>
      <c r="K431" s="953"/>
      <c r="L431" s="953"/>
      <c r="M431" s="954"/>
    </row>
    <row r="432" spans="1:15" ht="15" customHeight="1">
      <c r="A432" s="601"/>
      <c r="B432" s="558"/>
      <c r="C432" s="953"/>
      <c r="D432" s="953"/>
      <c r="E432" s="953"/>
      <c r="F432" s="953"/>
      <c r="G432" s="953"/>
      <c r="H432" s="953"/>
      <c r="I432" s="953"/>
      <c r="J432" s="953"/>
      <c r="K432" s="953"/>
      <c r="L432" s="953"/>
      <c r="M432" s="954"/>
    </row>
    <row r="433" spans="1:13" ht="15" customHeight="1">
      <c r="A433" s="601"/>
      <c r="B433" s="558"/>
      <c r="C433" s="953"/>
      <c r="D433" s="953"/>
      <c r="E433" s="953"/>
      <c r="F433" s="953"/>
      <c r="G433" s="953"/>
      <c r="H433" s="953"/>
      <c r="I433" s="953"/>
      <c r="J433" s="953"/>
      <c r="K433" s="953"/>
      <c r="L433" s="953"/>
      <c r="M433" s="954"/>
    </row>
    <row r="434" spans="1:13" ht="15" customHeight="1">
      <c r="A434" s="601"/>
      <c r="B434" s="558"/>
      <c r="C434" s="558" t="s">
        <v>459</v>
      </c>
      <c r="D434" s="953" t="s">
        <v>743</v>
      </c>
      <c r="E434" s="953"/>
      <c r="F434" s="953"/>
      <c r="G434" s="953"/>
      <c r="H434" s="953"/>
      <c r="I434" s="953"/>
      <c r="J434" s="953"/>
      <c r="K434" s="953"/>
      <c r="L434" s="953"/>
      <c r="M434" s="954"/>
    </row>
    <row r="435" spans="1:13" ht="15" customHeight="1">
      <c r="A435" s="601"/>
      <c r="B435" s="558"/>
      <c r="C435" s="558" t="s">
        <v>461</v>
      </c>
      <c r="D435" s="953" t="s">
        <v>744</v>
      </c>
      <c r="E435" s="953"/>
      <c r="F435" s="953"/>
      <c r="G435" s="953"/>
      <c r="H435" s="953"/>
      <c r="I435" s="953"/>
      <c r="J435" s="953"/>
      <c r="K435" s="953"/>
      <c r="L435" s="953"/>
      <c r="M435" s="954"/>
    </row>
    <row r="436" spans="1:13" ht="15" customHeight="1">
      <c r="A436" s="601"/>
      <c r="B436" s="558"/>
      <c r="C436" s="558" t="s">
        <v>469</v>
      </c>
      <c r="D436" s="953" t="s">
        <v>516</v>
      </c>
      <c r="E436" s="953"/>
      <c r="F436" s="953"/>
      <c r="G436" s="953"/>
      <c r="H436" s="953"/>
      <c r="I436" s="953"/>
      <c r="J436" s="953"/>
      <c r="K436" s="953"/>
      <c r="L436" s="953"/>
      <c r="M436" s="954"/>
    </row>
    <row r="437" spans="1:13" ht="15" customHeight="1">
      <c r="A437" s="601"/>
      <c r="B437" s="558" t="s">
        <v>431</v>
      </c>
      <c r="C437" s="953" t="s">
        <v>746</v>
      </c>
      <c r="D437" s="953"/>
      <c r="E437" s="953"/>
      <c r="F437" s="953"/>
      <c r="G437" s="953"/>
      <c r="H437" s="953"/>
      <c r="I437" s="953"/>
      <c r="J437" s="953"/>
      <c r="K437" s="953"/>
      <c r="L437" s="953"/>
      <c r="M437" s="954"/>
    </row>
    <row r="438" spans="1:13" ht="15" customHeight="1">
      <c r="A438" s="601"/>
      <c r="B438" s="558"/>
      <c r="C438" s="953"/>
      <c r="D438" s="953"/>
      <c r="E438" s="953"/>
      <c r="F438" s="953"/>
      <c r="G438" s="953"/>
      <c r="H438" s="953"/>
      <c r="I438" s="953"/>
      <c r="J438" s="953"/>
      <c r="K438" s="953"/>
      <c r="L438" s="953"/>
      <c r="M438" s="954"/>
    </row>
    <row r="439" spans="1:13" ht="15" customHeight="1">
      <c r="A439" s="601"/>
      <c r="B439" s="558"/>
      <c r="C439" s="953"/>
      <c r="D439" s="953"/>
      <c r="E439" s="953"/>
      <c r="F439" s="953"/>
      <c r="G439" s="953"/>
      <c r="H439" s="953"/>
      <c r="I439" s="953"/>
      <c r="J439" s="953"/>
      <c r="K439" s="953"/>
      <c r="L439" s="953"/>
      <c r="M439" s="954"/>
    </row>
    <row r="440" spans="1:13" ht="15" customHeight="1">
      <c r="A440" s="601"/>
      <c r="B440" s="558" t="s">
        <v>433</v>
      </c>
      <c r="C440" s="953" t="s">
        <v>747</v>
      </c>
      <c r="D440" s="953"/>
      <c r="E440" s="953"/>
      <c r="F440" s="953"/>
      <c r="G440" s="953"/>
      <c r="H440" s="953"/>
      <c r="I440" s="953"/>
      <c r="J440" s="953"/>
      <c r="K440" s="953"/>
      <c r="L440" s="953"/>
      <c r="M440" s="954"/>
    </row>
    <row r="441" spans="1:13" ht="15" customHeight="1">
      <c r="A441" s="601"/>
      <c r="B441" s="558" t="s">
        <v>496</v>
      </c>
      <c r="C441" s="953" t="s">
        <v>748</v>
      </c>
      <c r="D441" s="953"/>
      <c r="E441" s="953"/>
      <c r="F441" s="953"/>
      <c r="G441" s="953"/>
      <c r="H441" s="953"/>
      <c r="I441" s="953"/>
      <c r="J441" s="953"/>
      <c r="K441" s="953"/>
      <c r="L441" s="953"/>
      <c r="M441" s="954"/>
    </row>
    <row r="442" spans="1:13" ht="15" customHeight="1">
      <c r="A442" s="601"/>
      <c r="B442" s="558"/>
      <c r="C442" s="953"/>
      <c r="D442" s="953"/>
      <c r="E442" s="953"/>
      <c r="F442" s="953"/>
      <c r="G442" s="953"/>
      <c r="H442" s="953"/>
      <c r="I442" s="953"/>
      <c r="J442" s="953"/>
      <c r="K442" s="953"/>
      <c r="L442" s="953"/>
      <c r="M442" s="954"/>
    </row>
    <row r="443" spans="1:13" ht="15" customHeight="1">
      <c r="A443" s="601"/>
      <c r="B443" s="558"/>
      <c r="C443" s="953"/>
      <c r="D443" s="953"/>
      <c r="E443" s="953"/>
      <c r="F443" s="953"/>
      <c r="G443" s="953"/>
      <c r="H443" s="953"/>
      <c r="I443" s="953"/>
      <c r="J443" s="953"/>
      <c r="K443" s="953"/>
      <c r="L443" s="953"/>
      <c r="M443" s="954"/>
    </row>
    <row r="444" spans="1:13" ht="15" customHeight="1">
      <c r="A444" s="601"/>
      <c r="B444" s="552"/>
      <c r="C444" s="607"/>
      <c r="D444" s="607"/>
      <c r="E444" s="552"/>
      <c r="F444" s="552"/>
      <c r="G444" s="552"/>
      <c r="H444" s="552"/>
      <c r="I444" s="552"/>
      <c r="J444" s="552"/>
      <c r="K444" s="552"/>
      <c r="L444" s="552"/>
      <c r="M444" s="583"/>
    </row>
    <row r="445" spans="1:13" ht="15" customHeight="1">
      <c r="A445" s="798" t="s">
        <v>577</v>
      </c>
      <c r="B445" s="552" t="s">
        <v>749</v>
      </c>
      <c r="C445" s="607"/>
      <c r="D445" s="607"/>
      <c r="E445" s="552"/>
      <c r="F445" s="552"/>
      <c r="G445" s="552"/>
      <c r="H445" s="552"/>
      <c r="I445" s="552"/>
      <c r="J445" s="552"/>
      <c r="K445" s="552"/>
      <c r="L445" s="552"/>
      <c r="M445" s="583"/>
    </row>
    <row r="446" spans="1:13" ht="15" customHeight="1">
      <c r="A446" s="601"/>
      <c r="B446" s="558" t="s">
        <v>437</v>
      </c>
      <c r="C446" s="953" t="s">
        <v>750</v>
      </c>
      <c r="D446" s="953"/>
      <c r="E446" s="953"/>
      <c r="F446" s="953"/>
      <c r="G446" s="953"/>
      <c r="H446" s="953"/>
      <c r="I446" s="953"/>
      <c r="J446" s="953"/>
      <c r="K446" s="953"/>
      <c r="L446" s="953"/>
      <c r="M446" s="954"/>
    </row>
    <row r="447" spans="1:13" ht="15" customHeight="1">
      <c r="A447" s="601"/>
      <c r="B447" s="558"/>
      <c r="C447" s="953"/>
      <c r="D447" s="953"/>
      <c r="E447" s="953"/>
      <c r="F447" s="953"/>
      <c r="G447" s="953"/>
      <c r="H447" s="953"/>
      <c r="I447" s="953"/>
      <c r="J447" s="953"/>
      <c r="K447" s="953"/>
      <c r="L447" s="953"/>
      <c r="M447" s="954"/>
    </row>
    <row r="448" spans="1:13" ht="15" customHeight="1">
      <c r="A448" s="601"/>
      <c r="B448" s="558" t="s">
        <v>429</v>
      </c>
      <c r="C448" s="953" t="s">
        <v>751</v>
      </c>
      <c r="D448" s="953"/>
      <c r="E448" s="953"/>
      <c r="F448" s="953"/>
      <c r="G448" s="953"/>
      <c r="H448" s="953"/>
      <c r="I448" s="953"/>
      <c r="J448" s="953"/>
      <c r="K448" s="953"/>
      <c r="L448" s="953"/>
      <c r="M448" s="954"/>
    </row>
    <row r="449" spans="1:13" ht="15" customHeight="1">
      <c r="A449" s="601"/>
      <c r="B449" s="558"/>
      <c r="C449" s="953"/>
      <c r="D449" s="953"/>
      <c r="E449" s="953"/>
      <c r="F449" s="953"/>
      <c r="G449" s="953"/>
      <c r="H449" s="953"/>
      <c r="I449" s="953"/>
      <c r="J449" s="953"/>
      <c r="K449" s="953"/>
      <c r="L449" s="953"/>
      <c r="M449" s="954"/>
    </row>
    <row r="450" spans="1:13" ht="15" customHeight="1">
      <c r="A450" s="601"/>
      <c r="B450" s="558"/>
      <c r="C450" s="953"/>
      <c r="D450" s="953"/>
      <c r="E450" s="953"/>
      <c r="F450" s="953"/>
      <c r="G450" s="953"/>
      <c r="H450" s="953"/>
      <c r="I450" s="953"/>
      <c r="J450" s="953"/>
      <c r="K450" s="953"/>
      <c r="L450" s="953"/>
      <c r="M450" s="954"/>
    </row>
    <row r="451" spans="1:13" ht="15" customHeight="1">
      <c r="A451" s="601"/>
      <c r="B451" s="558" t="s">
        <v>431</v>
      </c>
      <c r="C451" s="953" t="s">
        <v>752</v>
      </c>
      <c r="D451" s="953"/>
      <c r="E451" s="953"/>
      <c r="F451" s="953"/>
      <c r="G451" s="953"/>
      <c r="H451" s="953"/>
      <c r="I451" s="953"/>
      <c r="J451" s="953"/>
      <c r="K451" s="953"/>
      <c r="L451" s="953"/>
      <c r="M451" s="954"/>
    </row>
    <row r="452" spans="1:13" ht="15" customHeight="1">
      <c r="A452" s="601"/>
      <c r="B452" s="552"/>
      <c r="C452" s="607"/>
      <c r="D452" s="607"/>
      <c r="E452" s="552"/>
      <c r="F452" s="552"/>
      <c r="G452" s="552"/>
      <c r="H452" s="552"/>
      <c r="I452" s="552"/>
      <c r="J452" s="552"/>
      <c r="K452" s="552"/>
      <c r="L452" s="552"/>
      <c r="M452" s="583"/>
    </row>
    <row r="453" spans="1:13" ht="15" customHeight="1">
      <c r="A453" s="798" t="s">
        <v>580</v>
      </c>
      <c r="B453" s="552" t="s">
        <v>753</v>
      </c>
      <c r="C453" s="607"/>
      <c r="D453" s="607"/>
      <c r="E453" s="552"/>
      <c r="F453" s="552"/>
      <c r="G453" s="552"/>
      <c r="H453" s="552"/>
      <c r="I453" s="552"/>
      <c r="J453" s="552"/>
      <c r="K453" s="552"/>
      <c r="L453" s="552"/>
      <c r="M453" s="583"/>
    </row>
    <row r="454" spans="1:13" ht="15" customHeight="1">
      <c r="A454" s="601"/>
      <c r="B454" s="558" t="s">
        <v>437</v>
      </c>
      <c r="C454" s="953" t="s">
        <v>754</v>
      </c>
      <c r="D454" s="953"/>
      <c r="E454" s="953"/>
      <c r="F454" s="953"/>
      <c r="G454" s="953"/>
      <c r="H454" s="953"/>
      <c r="I454" s="953"/>
      <c r="J454" s="953"/>
      <c r="K454" s="953"/>
      <c r="L454" s="953"/>
      <c r="M454" s="954"/>
    </row>
    <row r="455" spans="1:13" ht="15" customHeight="1">
      <c r="A455" s="601"/>
      <c r="B455" s="558"/>
      <c r="C455" s="558" t="s">
        <v>459</v>
      </c>
      <c r="D455" s="953" t="s">
        <v>736</v>
      </c>
      <c r="E455" s="953"/>
      <c r="F455" s="953"/>
      <c r="G455" s="953"/>
      <c r="H455" s="953"/>
      <c r="I455" s="953"/>
      <c r="J455" s="953"/>
      <c r="K455" s="953"/>
      <c r="L455" s="953"/>
      <c r="M455" s="954"/>
    </row>
    <row r="456" spans="1:13" ht="15" customHeight="1">
      <c r="A456" s="601"/>
      <c r="B456" s="558"/>
      <c r="C456" s="558" t="s">
        <v>461</v>
      </c>
      <c r="D456" s="953" t="s">
        <v>755</v>
      </c>
      <c r="E456" s="953"/>
      <c r="F456" s="953"/>
      <c r="G456" s="953"/>
      <c r="H456" s="953"/>
      <c r="I456" s="953"/>
      <c r="J456" s="953"/>
      <c r="K456" s="953"/>
      <c r="L456" s="953"/>
      <c r="M456" s="954"/>
    </row>
    <row r="457" spans="1:13" ht="15" customHeight="1">
      <c r="A457" s="601"/>
      <c r="B457" s="558"/>
      <c r="C457" s="558" t="s">
        <v>469</v>
      </c>
      <c r="D457" s="953" t="s">
        <v>756</v>
      </c>
      <c r="E457" s="953"/>
      <c r="F457" s="953"/>
      <c r="G457" s="953"/>
      <c r="H457" s="953"/>
      <c r="I457" s="953"/>
      <c r="J457" s="953"/>
      <c r="K457" s="953"/>
      <c r="L457" s="953"/>
      <c r="M457" s="954"/>
    </row>
    <row r="458" spans="1:13" ht="15" customHeight="1">
      <c r="A458" s="601"/>
      <c r="B458" s="558" t="s">
        <v>439</v>
      </c>
      <c r="C458" s="953" t="s">
        <v>757</v>
      </c>
      <c r="D458" s="953"/>
      <c r="E458" s="953"/>
      <c r="F458" s="953"/>
      <c r="G458" s="953"/>
      <c r="H458" s="953"/>
      <c r="I458" s="953"/>
      <c r="J458" s="953"/>
      <c r="K458" s="953"/>
      <c r="L458" s="953"/>
      <c r="M458" s="954"/>
    </row>
    <row r="459" spans="1:13" ht="15" customHeight="1">
      <c r="A459" s="601"/>
      <c r="B459" s="558"/>
      <c r="C459" s="953"/>
      <c r="D459" s="953"/>
      <c r="E459" s="953"/>
      <c r="F459" s="953"/>
      <c r="G459" s="953"/>
      <c r="H459" s="953"/>
      <c r="I459" s="953"/>
      <c r="J459" s="953"/>
      <c r="K459" s="953"/>
      <c r="L459" s="953"/>
      <c r="M459" s="954"/>
    </row>
    <row r="460" spans="1:13" ht="15" customHeight="1">
      <c r="A460" s="601"/>
      <c r="B460" s="558"/>
      <c r="C460" s="558" t="s">
        <v>459</v>
      </c>
      <c r="D460" s="953" t="s">
        <v>736</v>
      </c>
      <c r="E460" s="953"/>
      <c r="F460" s="953"/>
      <c r="G460" s="953"/>
      <c r="H460" s="953"/>
      <c r="I460" s="953"/>
      <c r="J460" s="953"/>
      <c r="K460" s="953"/>
      <c r="L460" s="953"/>
      <c r="M460" s="954"/>
    </row>
    <row r="461" spans="1:13" ht="15" customHeight="1">
      <c r="A461" s="601"/>
      <c r="B461" s="558"/>
      <c r="C461" s="558" t="s">
        <v>461</v>
      </c>
      <c r="D461" s="953" t="s">
        <v>758</v>
      </c>
      <c r="E461" s="953"/>
      <c r="F461" s="953"/>
      <c r="G461" s="953"/>
      <c r="H461" s="953"/>
      <c r="I461" s="953"/>
      <c r="J461" s="953"/>
      <c r="K461" s="953"/>
      <c r="L461" s="953"/>
      <c r="M461" s="954"/>
    </row>
    <row r="462" spans="1:13" ht="15" customHeight="1">
      <c r="A462" s="601"/>
      <c r="B462" s="558"/>
      <c r="C462" s="558" t="s">
        <v>469</v>
      </c>
      <c r="D462" s="953" t="s">
        <v>759</v>
      </c>
      <c r="E462" s="953"/>
      <c r="F462" s="953"/>
      <c r="G462" s="953"/>
      <c r="H462" s="953"/>
      <c r="I462" s="953"/>
      <c r="J462" s="953"/>
      <c r="K462" s="953"/>
      <c r="L462" s="953"/>
      <c r="M462" s="954"/>
    </row>
    <row r="463" spans="1:13" ht="15" customHeight="1">
      <c r="A463" s="601"/>
      <c r="B463" s="558" t="s">
        <v>431</v>
      </c>
      <c r="C463" s="953" t="s">
        <v>760</v>
      </c>
      <c r="D463" s="953"/>
      <c r="E463" s="953"/>
      <c r="F463" s="953"/>
      <c r="G463" s="953"/>
      <c r="H463" s="953"/>
      <c r="I463" s="953"/>
      <c r="J463" s="953"/>
      <c r="K463" s="953"/>
      <c r="L463" s="953"/>
      <c r="M463" s="954"/>
    </row>
    <row r="464" spans="1:13" ht="15" customHeight="1">
      <c r="A464" s="601"/>
      <c r="B464" s="558"/>
      <c r="C464" s="953"/>
      <c r="D464" s="953"/>
      <c r="E464" s="953"/>
      <c r="F464" s="953"/>
      <c r="G464" s="953"/>
      <c r="H464" s="953"/>
      <c r="I464" s="953"/>
      <c r="J464" s="953"/>
      <c r="K464" s="953"/>
      <c r="L464" s="953"/>
      <c r="M464" s="954"/>
    </row>
    <row r="465" spans="1:13" ht="15" customHeight="1">
      <c r="A465" s="601"/>
      <c r="B465" s="558"/>
      <c r="C465" s="953"/>
      <c r="D465" s="953"/>
      <c r="E465" s="953"/>
      <c r="F465" s="953"/>
      <c r="G465" s="953"/>
      <c r="H465" s="953"/>
      <c r="I465" s="953"/>
      <c r="J465" s="953"/>
      <c r="K465" s="953"/>
      <c r="L465" s="953"/>
      <c r="M465" s="954"/>
    </row>
    <row r="466" spans="1:13" ht="15" customHeight="1">
      <c r="A466" s="601"/>
      <c r="B466" s="558" t="s">
        <v>433</v>
      </c>
      <c r="C466" s="953" t="s">
        <v>761</v>
      </c>
      <c r="D466" s="953"/>
      <c r="E466" s="953"/>
      <c r="F466" s="953"/>
      <c r="G466" s="953"/>
      <c r="H466" s="953"/>
      <c r="I466" s="953"/>
      <c r="J466" s="953"/>
      <c r="K466" s="953"/>
      <c r="L466" s="953"/>
      <c r="M466" s="954"/>
    </row>
    <row r="467" spans="1:13" ht="15" customHeight="1">
      <c r="A467" s="601"/>
      <c r="B467" s="558"/>
      <c r="C467" s="953"/>
      <c r="D467" s="953"/>
      <c r="E467" s="953"/>
      <c r="F467" s="953"/>
      <c r="G467" s="953"/>
      <c r="H467" s="953"/>
      <c r="I467" s="953"/>
      <c r="J467" s="953"/>
      <c r="K467" s="953"/>
      <c r="L467" s="953"/>
      <c r="M467" s="954"/>
    </row>
    <row r="468" spans="1:13" ht="15" customHeight="1">
      <c r="A468" s="601"/>
      <c r="B468" s="558"/>
      <c r="C468" s="953"/>
      <c r="D468" s="953"/>
      <c r="E468" s="953"/>
      <c r="F468" s="953"/>
      <c r="G468" s="953"/>
      <c r="H468" s="953"/>
      <c r="I468" s="953"/>
      <c r="J468" s="953"/>
      <c r="K468" s="953"/>
      <c r="L468" s="953"/>
      <c r="M468" s="954"/>
    </row>
    <row r="469" spans="1:13" ht="15" customHeight="1">
      <c r="A469" s="601"/>
      <c r="B469" s="558"/>
      <c r="C469" s="953"/>
      <c r="D469" s="953"/>
      <c r="E469" s="953"/>
      <c r="F469" s="953"/>
      <c r="G469" s="953"/>
      <c r="H469" s="953"/>
      <c r="I469" s="953"/>
      <c r="J469" s="953"/>
      <c r="K469" s="953"/>
      <c r="L469" s="953"/>
      <c r="M469" s="954"/>
    </row>
    <row r="470" spans="1:13" ht="15" customHeight="1">
      <c r="A470" s="601"/>
      <c r="B470" s="558"/>
      <c r="C470" s="953"/>
      <c r="D470" s="953"/>
      <c r="E470" s="953"/>
      <c r="F470" s="953"/>
      <c r="G470" s="953"/>
      <c r="H470" s="953"/>
      <c r="I470" s="953"/>
      <c r="J470" s="953"/>
      <c r="K470" s="953"/>
      <c r="L470" s="953"/>
      <c r="M470" s="954"/>
    </row>
    <row r="471" spans="1:13" ht="15" customHeight="1">
      <c r="A471" s="601"/>
      <c r="B471" s="558"/>
      <c r="C471" s="953"/>
      <c r="D471" s="953"/>
      <c r="E471" s="953"/>
      <c r="F471" s="953"/>
      <c r="G471" s="953"/>
      <c r="H471" s="953"/>
      <c r="I471" s="953"/>
      <c r="J471" s="953"/>
      <c r="K471" s="953"/>
      <c r="L471" s="953"/>
      <c r="M471" s="954"/>
    </row>
    <row r="472" spans="1:13" ht="15" customHeight="1">
      <c r="A472" s="601"/>
      <c r="B472" s="558" t="s">
        <v>496</v>
      </c>
      <c r="C472" s="953" t="s">
        <v>762</v>
      </c>
      <c r="D472" s="953"/>
      <c r="E472" s="953"/>
      <c r="F472" s="953"/>
      <c r="G472" s="953"/>
      <c r="H472" s="953"/>
      <c r="I472" s="953"/>
      <c r="J472" s="953"/>
      <c r="K472" s="953"/>
      <c r="L472" s="953"/>
      <c r="M472" s="954"/>
    </row>
    <row r="473" spans="1:13" ht="15" customHeight="1">
      <c r="A473" s="608"/>
      <c r="B473" s="560"/>
      <c r="C473" s="966"/>
      <c r="D473" s="966"/>
      <c r="E473" s="966"/>
      <c r="F473" s="966"/>
      <c r="G473" s="966"/>
      <c r="H473" s="966"/>
      <c r="I473" s="966"/>
      <c r="J473" s="966"/>
      <c r="K473" s="966"/>
      <c r="L473" s="966"/>
      <c r="M473" s="967"/>
    </row>
    <row r="474" spans="1:13" ht="15" customHeight="1">
      <c r="A474" s="600"/>
      <c r="B474" s="570" t="s">
        <v>498</v>
      </c>
      <c r="C474" s="968" t="s">
        <v>763</v>
      </c>
      <c r="D474" s="968"/>
      <c r="E474" s="968"/>
      <c r="F474" s="968"/>
      <c r="G474" s="968"/>
      <c r="H474" s="968"/>
      <c r="I474" s="968"/>
      <c r="J474" s="968"/>
      <c r="K474" s="968"/>
      <c r="L474" s="968"/>
      <c r="M474" s="969"/>
    </row>
    <row r="475" spans="1:13" ht="15" customHeight="1">
      <c r="A475" s="601"/>
      <c r="B475" s="558"/>
      <c r="C475" s="953"/>
      <c r="D475" s="953"/>
      <c r="E475" s="953"/>
      <c r="F475" s="953"/>
      <c r="G475" s="953"/>
      <c r="H475" s="953"/>
      <c r="I475" s="953"/>
      <c r="J475" s="953"/>
      <c r="K475" s="953"/>
      <c r="L475" s="953"/>
      <c r="M475" s="954"/>
    </row>
    <row r="476" spans="1:13" ht="15" customHeight="1">
      <c r="A476" s="601"/>
      <c r="B476" s="558" t="s">
        <v>598</v>
      </c>
      <c r="C476" s="953" t="s">
        <v>764</v>
      </c>
      <c r="D476" s="953"/>
      <c r="E476" s="953"/>
      <c r="F476" s="953"/>
      <c r="G476" s="953"/>
      <c r="H476" s="953"/>
      <c r="I476" s="953"/>
      <c r="J476" s="953"/>
      <c r="K476" s="953"/>
      <c r="L476" s="953"/>
      <c r="M476" s="954"/>
    </row>
    <row r="477" spans="1:13" ht="15" customHeight="1">
      <c r="A477" s="601"/>
      <c r="B477" s="558"/>
      <c r="C477" s="953"/>
      <c r="D477" s="953"/>
      <c r="E477" s="953"/>
      <c r="F477" s="953"/>
      <c r="G477" s="953"/>
      <c r="H477" s="953"/>
      <c r="I477" s="953"/>
      <c r="J477" s="953"/>
      <c r="K477" s="953"/>
      <c r="L477" s="953"/>
      <c r="M477" s="954"/>
    </row>
    <row r="478" spans="1:13" ht="15" customHeight="1">
      <c r="A478" s="601"/>
      <c r="B478" s="558"/>
      <c r="C478" s="953"/>
      <c r="D478" s="953"/>
      <c r="E478" s="953"/>
      <c r="F478" s="953"/>
      <c r="G478" s="953"/>
      <c r="H478" s="953"/>
      <c r="I478" s="953"/>
      <c r="J478" s="953"/>
      <c r="K478" s="953"/>
      <c r="L478" s="953"/>
      <c r="M478" s="954"/>
    </row>
    <row r="479" spans="1:13" ht="15" customHeight="1">
      <c r="A479" s="601"/>
      <c r="B479" s="558"/>
      <c r="C479" s="953"/>
      <c r="D479" s="953"/>
      <c r="E479" s="953"/>
      <c r="F479" s="953"/>
      <c r="G479" s="953"/>
      <c r="H479" s="953"/>
      <c r="I479" s="953"/>
      <c r="J479" s="953"/>
      <c r="K479" s="953"/>
      <c r="L479" s="953"/>
      <c r="M479" s="954"/>
    </row>
    <row r="480" spans="1:13" ht="15" customHeight="1">
      <c r="A480" s="601"/>
      <c r="B480" s="558"/>
      <c r="C480" s="953"/>
      <c r="D480" s="953"/>
      <c r="E480" s="953"/>
      <c r="F480" s="953"/>
      <c r="G480" s="953"/>
      <c r="H480" s="953"/>
      <c r="I480" s="953"/>
      <c r="J480" s="953"/>
      <c r="K480" s="953"/>
      <c r="L480" s="953"/>
      <c r="M480" s="954"/>
    </row>
    <row r="481" spans="1:13" ht="15" customHeight="1">
      <c r="A481" s="601"/>
      <c r="B481" s="552"/>
      <c r="C481" s="607"/>
      <c r="D481" s="607"/>
      <c r="E481" s="552"/>
      <c r="F481" s="552"/>
      <c r="G481" s="552"/>
      <c r="H481" s="552"/>
      <c r="I481" s="552"/>
      <c r="J481" s="552"/>
      <c r="K481" s="552"/>
      <c r="L481" s="552"/>
      <c r="M481" s="583"/>
    </row>
    <row r="482" spans="1:13" ht="15" customHeight="1">
      <c r="A482" s="798" t="s">
        <v>765</v>
      </c>
      <c r="B482" s="552" t="s">
        <v>766</v>
      </c>
      <c r="C482" s="607"/>
      <c r="D482" s="607"/>
      <c r="E482" s="552"/>
      <c r="F482" s="552"/>
      <c r="G482" s="552"/>
      <c r="H482" s="552"/>
      <c r="I482" s="552"/>
      <c r="J482" s="552"/>
      <c r="K482" s="552"/>
      <c r="L482" s="552"/>
      <c r="M482" s="583"/>
    </row>
    <row r="483" spans="1:13" ht="15" customHeight="1">
      <c r="A483" s="601"/>
      <c r="B483" s="558" t="s">
        <v>437</v>
      </c>
      <c r="C483" s="953" t="s">
        <v>767</v>
      </c>
      <c r="D483" s="953"/>
      <c r="E483" s="953"/>
      <c r="F483" s="953"/>
      <c r="G483" s="953"/>
      <c r="H483" s="953"/>
      <c r="I483" s="953"/>
      <c r="J483" s="953"/>
      <c r="K483" s="953"/>
      <c r="L483" s="953"/>
      <c r="M483" s="954"/>
    </row>
    <row r="484" spans="1:13" ht="15" customHeight="1">
      <c r="A484" s="601"/>
      <c r="B484" s="558"/>
      <c r="C484" s="953"/>
      <c r="D484" s="953"/>
      <c r="E484" s="953"/>
      <c r="F484" s="953"/>
      <c r="G484" s="953"/>
      <c r="H484" s="953"/>
      <c r="I484" s="953"/>
      <c r="J484" s="953"/>
      <c r="K484" s="953"/>
      <c r="L484" s="953"/>
      <c r="M484" s="954"/>
    </row>
    <row r="485" spans="1:13" ht="15" customHeight="1">
      <c r="A485" s="601"/>
      <c r="B485" s="558"/>
      <c r="C485" s="558" t="s">
        <v>459</v>
      </c>
      <c r="D485" s="953" t="s">
        <v>768</v>
      </c>
      <c r="E485" s="953"/>
      <c r="F485" s="953"/>
      <c r="G485" s="953"/>
      <c r="H485" s="953"/>
      <c r="I485" s="953"/>
      <c r="J485" s="953"/>
      <c r="K485" s="953"/>
      <c r="L485" s="953"/>
      <c r="M485" s="954"/>
    </row>
    <row r="486" spans="1:13" ht="15" customHeight="1">
      <c r="A486" s="601"/>
      <c r="B486" s="558"/>
      <c r="C486" s="558"/>
      <c r="D486" s="953"/>
      <c r="E486" s="953"/>
      <c r="F486" s="953"/>
      <c r="G486" s="953"/>
      <c r="H486" s="953"/>
      <c r="I486" s="953"/>
      <c r="J486" s="953"/>
      <c r="K486" s="953"/>
      <c r="L486" s="953"/>
      <c r="M486" s="954"/>
    </row>
    <row r="487" spans="1:13" ht="15" customHeight="1">
      <c r="A487" s="601"/>
      <c r="B487" s="558"/>
      <c r="C487" s="558" t="s">
        <v>461</v>
      </c>
      <c r="D487" s="953" t="s">
        <v>769</v>
      </c>
      <c r="E487" s="953"/>
      <c r="F487" s="953"/>
      <c r="G487" s="953"/>
      <c r="H487" s="953"/>
      <c r="I487" s="953"/>
      <c r="J487" s="953"/>
      <c r="K487" s="953"/>
      <c r="L487" s="953"/>
      <c r="M487" s="954"/>
    </row>
    <row r="488" spans="1:13" ht="15" customHeight="1">
      <c r="A488" s="601"/>
      <c r="B488" s="558"/>
      <c r="C488" s="558" t="s">
        <v>469</v>
      </c>
      <c r="D488" s="964" t="s">
        <v>770</v>
      </c>
      <c r="E488" s="964"/>
      <c r="F488" s="964"/>
      <c r="G488" s="964"/>
      <c r="H488" s="964"/>
      <c r="I488" s="964"/>
      <c r="J488" s="964"/>
      <c r="K488" s="964"/>
      <c r="L488" s="964"/>
      <c r="M488" s="965"/>
    </row>
    <row r="489" spans="1:13" ht="15" customHeight="1">
      <c r="A489" s="601"/>
      <c r="B489" s="558"/>
      <c r="C489" s="558"/>
      <c r="D489" s="964"/>
      <c r="E489" s="964"/>
      <c r="F489" s="964"/>
      <c r="G489" s="964"/>
      <c r="H489" s="964"/>
      <c r="I489" s="964"/>
      <c r="J489" s="964"/>
      <c r="K489" s="964"/>
      <c r="L489" s="964"/>
      <c r="M489" s="965"/>
    </row>
    <row r="490" spans="1:13" ht="15" customHeight="1">
      <c r="A490" s="601"/>
      <c r="B490" s="558" t="s">
        <v>439</v>
      </c>
      <c r="C490" s="953" t="s">
        <v>771</v>
      </c>
      <c r="D490" s="953"/>
      <c r="E490" s="953"/>
      <c r="F490" s="953"/>
      <c r="G490" s="953"/>
      <c r="H490" s="953"/>
      <c r="I490" s="953"/>
      <c r="J490" s="953"/>
      <c r="K490" s="953"/>
      <c r="L490" s="953"/>
      <c r="M490" s="954"/>
    </row>
    <row r="491" spans="1:13" ht="15" customHeight="1">
      <c r="A491" s="601"/>
      <c r="B491" s="558"/>
      <c r="C491" s="953"/>
      <c r="D491" s="953"/>
      <c r="E491" s="953"/>
      <c r="F491" s="953"/>
      <c r="G491" s="953"/>
      <c r="H491" s="953"/>
      <c r="I491" s="953"/>
      <c r="J491" s="953"/>
      <c r="K491" s="953"/>
      <c r="L491" s="953"/>
      <c r="M491" s="954"/>
    </row>
    <row r="492" spans="1:13" ht="15" customHeight="1">
      <c r="A492" s="601"/>
      <c r="B492" s="558"/>
      <c r="C492" s="953"/>
      <c r="D492" s="953"/>
      <c r="E492" s="953"/>
      <c r="F492" s="953"/>
      <c r="G492" s="953"/>
      <c r="H492" s="953"/>
      <c r="I492" s="953"/>
      <c r="J492" s="953"/>
      <c r="K492" s="953"/>
      <c r="L492" s="953"/>
      <c r="M492" s="954"/>
    </row>
    <row r="493" spans="1:13" ht="15" customHeight="1">
      <c r="A493" s="601"/>
      <c r="B493" s="558"/>
      <c r="C493" s="953"/>
      <c r="D493" s="953"/>
      <c r="E493" s="953"/>
      <c r="F493" s="953"/>
      <c r="G493" s="953"/>
      <c r="H493" s="953"/>
      <c r="I493" s="953"/>
      <c r="J493" s="953"/>
      <c r="K493" s="953"/>
      <c r="L493" s="953"/>
      <c r="M493" s="954"/>
    </row>
    <row r="494" spans="1:13" ht="15" customHeight="1">
      <c r="A494" s="601"/>
      <c r="B494" s="552"/>
      <c r="C494" s="607"/>
      <c r="D494" s="607"/>
      <c r="E494" s="552"/>
      <c r="F494" s="552"/>
      <c r="G494" s="552"/>
      <c r="H494" s="552"/>
      <c r="I494" s="552"/>
      <c r="J494" s="552"/>
      <c r="K494" s="552"/>
      <c r="L494" s="552"/>
      <c r="M494" s="583"/>
    </row>
    <row r="495" spans="1:13" ht="15" customHeight="1">
      <c r="A495" s="798" t="s">
        <v>772</v>
      </c>
      <c r="B495" s="552" t="s">
        <v>519</v>
      </c>
      <c r="C495" s="607"/>
      <c r="D495" s="607"/>
      <c r="E495" s="552"/>
      <c r="F495" s="552"/>
      <c r="G495" s="552"/>
      <c r="H495" s="552"/>
      <c r="I495" s="552"/>
      <c r="J495" s="552"/>
      <c r="K495" s="552"/>
      <c r="L495" s="552"/>
      <c r="M495" s="583"/>
    </row>
    <row r="496" spans="1:13" ht="15" customHeight="1">
      <c r="A496" s="601"/>
      <c r="B496" s="558" t="s">
        <v>437</v>
      </c>
      <c r="C496" s="953" t="s">
        <v>773</v>
      </c>
      <c r="D496" s="953"/>
      <c r="E496" s="953"/>
      <c r="F496" s="953"/>
      <c r="G496" s="953"/>
      <c r="H496" s="953"/>
      <c r="I496" s="953"/>
      <c r="J496" s="953"/>
      <c r="K496" s="953"/>
      <c r="L496" s="953"/>
      <c r="M496" s="954"/>
    </row>
    <row r="497" spans="1:13" ht="15" customHeight="1">
      <c r="A497" s="601"/>
      <c r="B497" s="558"/>
      <c r="C497" s="558" t="s">
        <v>459</v>
      </c>
      <c r="D497" s="953" t="s">
        <v>774</v>
      </c>
      <c r="E497" s="953"/>
      <c r="F497" s="953"/>
      <c r="G497" s="953"/>
      <c r="H497" s="953"/>
      <c r="I497" s="953"/>
      <c r="J497" s="953"/>
      <c r="K497" s="953"/>
      <c r="L497" s="953"/>
      <c r="M497" s="954"/>
    </row>
    <row r="498" spans="1:13" ht="15" customHeight="1">
      <c r="A498" s="601"/>
      <c r="B498" s="558"/>
      <c r="C498" s="558" t="s">
        <v>461</v>
      </c>
      <c r="D498" s="953" t="s">
        <v>775</v>
      </c>
      <c r="E498" s="953"/>
      <c r="F498" s="953"/>
      <c r="G498" s="953"/>
      <c r="H498" s="953"/>
      <c r="I498" s="953"/>
      <c r="J498" s="953"/>
      <c r="K498" s="953"/>
      <c r="L498" s="953"/>
      <c r="M498" s="954"/>
    </row>
    <row r="499" spans="1:13" ht="15" customHeight="1">
      <c r="A499" s="601"/>
      <c r="B499" s="558"/>
      <c r="C499" s="558" t="s">
        <v>469</v>
      </c>
      <c r="D499" s="964" t="s">
        <v>776</v>
      </c>
      <c r="E499" s="964"/>
      <c r="F499" s="964"/>
      <c r="G499" s="964"/>
      <c r="H499" s="964"/>
      <c r="I499" s="964"/>
      <c r="J499" s="964"/>
      <c r="K499" s="964"/>
      <c r="L499" s="964"/>
      <c r="M499" s="965"/>
    </row>
    <row r="500" spans="1:13" ht="15" customHeight="1">
      <c r="A500" s="601"/>
      <c r="B500" s="558"/>
      <c r="C500" s="558"/>
      <c r="D500" s="964"/>
      <c r="E500" s="964"/>
      <c r="F500" s="964"/>
      <c r="G500" s="964"/>
      <c r="H500" s="964"/>
      <c r="I500" s="964"/>
      <c r="J500" s="964"/>
      <c r="K500" s="964"/>
      <c r="L500" s="964"/>
      <c r="M500" s="965"/>
    </row>
    <row r="501" spans="1:13" ht="15" customHeight="1">
      <c r="A501" s="601"/>
      <c r="B501" s="558"/>
      <c r="C501" s="558" t="s">
        <v>515</v>
      </c>
      <c r="D501" s="953" t="s">
        <v>777</v>
      </c>
      <c r="E501" s="953"/>
      <c r="F501" s="953"/>
      <c r="G501" s="953"/>
      <c r="H501" s="953"/>
      <c r="I501" s="953"/>
      <c r="J501" s="953"/>
      <c r="K501" s="953"/>
      <c r="L501" s="953"/>
      <c r="M501" s="954"/>
    </row>
    <row r="502" spans="1:13" ht="15" customHeight="1">
      <c r="A502" s="601"/>
      <c r="B502" s="558"/>
      <c r="C502" s="558" t="s">
        <v>525</v>
      </c>
      <c r="D502" s="953" t="s">
        <v>778</v>
      </c>
      <c r="E502" s="953"/>
      <c r="F502" s="953"/>
      <c r="G502" s="953"/>
      <c r="H502" s="953"/>
      <c r="I502" s="953"/>
      <c r="J502" s="953"/>
      <c r="K502" s="953"/>
      <c r="L502" s="953"/>
      <c r="M502" s="954"/>
    </row>
    <row r="503" spans="1:13" ht="15" customHeight="1">
      <c r="A503" s="601"/>
      <c r="B503" s="558"/>
      <c r="C503" s="558" t="s">
        <v>527</v>
      </c>
      <c r="D503" s="964" t="s">
        <v>779</v>
      </c>
      <c r="E503" s="964"/>
      <c r="F503" s="964"/>
      <c r="G503" s="964"/>
      <c r="H503" s="964"/>
      <c r="I503" s="964"/>
      <c r="J503" s="964"/>
      <c r="K503" s="964"/>
      <c r="L503" s="964"/>
      <c r="M503" s="965"/>
    </row>
    <row r="504" spans="1:13" ht="15" customHeight="1">
      <c r="A504" s="601"/>
      <c r="B504" s="558"/>
      <c r="C504" s="558"/>
      <c r="D504" s="964"/>
      <c r="E504" s="964"/>
      <c r="F504" s="964"/>
      <c r="G504" s="964"/>
      <c r="H504" s="964"/>
      <c r="I504" s="964"/>
      <c r="J504" s="964"/>
      <c r="K504" s="964"/>
      <c r="L504" s="964"/>
      <c r="M504" s="965"/>
    </row>
    <row r="505" spans="1:13" ht="15" customHeight="1">
      <c r="A505" s="601"/>
      <c r="B505" s="558" t="s">
        <v>439</v>
      </c>
      <c r="C505" s="953" t="s">
        <v>780</v>
      </c>
      <c r="D505" s="953"/>
      <c r="E505" s="953"/>
      <c r="F505" s="953"/>
      <c r="G505" s="953"/>
      <c r="H505" s="953"/>
      <c r="I505" s="953"/>
      <c r="J505" s="953"/>
      <c r="K505" s="953"/>
      <c r="L505" s="953"/>
      <c r="M505" s="954"/>
    </row>
    <row r="506" spans="1:13" ht="15" customHeight="1">
      <c r="A506" s="601"/>
      <c r="B506" s="558"/>
      <c r="C506" s="953"/>
      <c r="D506" s="953"/>
      <c r="E506" s="953"/>
      <c r="F506" s="953"/>
      <c r="G506" s="953"/>
      <c r="H506" s="953"/>
      <c r="I506" s="953"/>
      <c r="J506" s="953"/>
      <c r="K506" s="953"/>
      <c r="L506" s="953"/>
      <c r="M506" s="954"/>
    </row>
    <row r="507" spans="1:13" ht="15" customHeight="1">
      <c r="A507" s="601"/>
      <c r="B507" s="558"/>
      <c r="C507" s="953"/>
      <c r="D507" s="953"/>
      <c r="E507" s="953"/>
      <c r="F507" s="953"/>
      <c r="G507" s="953"/>
      <c r="H507" s="953"/>
      <c r="I507" s="953"/>
      <c r="J507" s="953"/>
      <c r="K507" s="953"/>
      <c r="L507" s="953"/>
      <c r="M507" s="954"/>
    </row>
    <row r="508" spans="1:13" ht="15" customHeight="1">
      <c r="A508" s="601"/>
      <c r="B508" s="558" t="s">
        <v>431</v>
      </c>
      <c r="C508" s="953" t="s">
        <v>781</v>
      </c>
      <c r="D508" s="953"/>
      <c r="E508" s="953"/>
      <c r="F508" s="953"/>
      <c r="G508" s="953"/>
      <c r="H508" s="953"/>
      <c r="I508" s="953"/>
      <c r="J508" s="953"/>
      <c r="K508" s="953"/>
      <c r="L508" s="953"/>
      <c r="M508" s="954"/>
    </row>
    <row r="509" spans="1:13" ht="15" customHeight="1">
      <c r="A509" s="601"/>
      <c r="B509" s="558"/>
      <c r="C509" s="953"/>
      <c r="D509" s="953"/>
      <c r="E509" s="953"/>
      <c r="F509" s="953"/>
      <c r="G509" s="953"/>
      <c r="H509" s="953"/>
      <c r="I509" s="953"/>
      <c r="J509" s="953"/>
      <c r="K509" s="953"/>
      <c r="L509" s="953"/>
      <c r="M509" s="954"/>
    </row>
    <row r="510" spans="1:13" ht="15" customHeight="1">
      <c r="A510" s="601"/>
      <c r="B510" s="558"/>
      <c r="C510" s="953"/>
      <c r="D510" s="953"/>
      <c r="E510" s="953"/>
      <c r="F510" s="953"/>
      <c r="G510" s="953"/>
      <c r="H510" s="953"/>
      <c r="I510" s="953"/>
      <c r="J510" s="953"/>
      <c r="K510" s="953"/>
      <c r="L510" s="953"/>
      <c r="M510" s="954"/>
    </row>
    <row r="511" spans="1:13" ht="15" customHeight="1">
      <c r="A511" s="601"/>
      <c r="B511" s="558" t="s">
        <v>433</v>
      </c>
      <c r="C511" s="953" t="s">
        <v>782</v>
      </c>
      <c r="D511" s="953"/>
      <c r="E511" s="953"/>
      <c r="F511" s="953"/>
      <c r="G511" s="953"/>
      <c r="H511" s="953"/>
      <c r="I511" s="953"/>
      <c r="J511" s="953"/>
      <c r="K511" s="953"/>
      <c r="L511" s="953"/>
      <c r="M511" s="954"/>
    </row>
    <row r="512" spans="1:13" ht="15" customHeight="1">
      <c r="A512" s="601"/>
      <c r="B512" s="558"/>
      <c r="C512" s="953"/>
      <c r="D512" s="953"/>
      <c r="E512" s="953"/>
      <c r="F512" s="953"/>
      <c r="G512" s="953"/>
      <c r="H512" s="953"/>
      <c r="I512" s="953"/>
      <c r="J512" s="953"/>
      <c r="K512" s="953"/>
      <c r="L512" s="953"/>
      <c r="M512" s="954"/>
    </row>
    <row r="513" spans="1:13" ht="15" customHeight="1">
      <c r="A513" s="601"/>
      <c r="B513" s="558"/>
      <c r="C513" s="953"/>
      <c r="D513" s="953"/>
      <c r="E513" s="953"/>
      <c r="F513" s="953"/>
      <c r="G513" s="953"/>
      <c r="H513" s="953"/>
      <c r="I513" s="953"/>
      <c r="J513" s="953"/>
      <c r="K513" s="953"/>
      <c r="L513" s="953"/>
      <c r="M513" s="954"/>
    </row>
    <row r="514" spans="1:13" ht="15" customHeight="1">
      <c r="A514" s="601"/>
      <c r="B514" s="558" t="s">
        <v>496</v>
      </c>
      <c r="C514" s="953" t="s">
        <v>783</v>
      </c>
      <c r="D514" s="953"/>
      <c r="E514" s="953"/>
      <c r="F514" s="953"/>
      <c r="G514" s="953"/>
      <c r="H514" s="953"/>
      <c r="I514" s="953"/>
      <c r="J514" s="953"/>
      <c r="K514" s="953"/>
      <c r="L514" s="953"/>
      <c r="M514" s="954"/>
    </row>
    <row r="515" spans="1:13" ht="15" customHeight="1">
      <c r="A515" s="601"/>
      <c r="B515" s="558"/>
      <c r="C515" s="953"/>
      <c r="D515" s="953"/>
      <c r="E515" s="953"/>
      <c r="F515" s="953"/>
      <c r="G515" s="953"/>
      <c r="H515" s="953"/>
      <c r="I515" s="953"/>
      <c r="J515" s="953"/>
      <c r="K515" s="953"/>
      <c r="L515" s="953"/>
      <c r="M515" s="954"/>
    </row>
    <row r="516" spans="1:13" ht="15" customHeight="1">
      <c r="A516" s="601"/>
      <c r="B516" s="558"/>
      <c r="C516" s="953"/>
      <c r="D516" s="953"/>
      <c r="E516" s="953"/>
      <c r="F516" s="953"/>
      <c r="G516" s="953"/>
      <c r="H516" s="953"/>
      <c r="I516" s="953"/>
      <c r="J516" s="953"/>
      <c r="K516" s="953"/>
      <c r="L516" s="953"/>
      <c r="M516" s="954"/>
    </row>
    <row r="517" spans="1:13" ht="15" customHeight="1">
      <c r="A517" s="601"/>
      <c r="B517" s="552"/>
      <c r="C517" s="607"/>
      <c r="D517" s="607"/>
      <c r="E517" s="552"/>
      <c r="F517" s="552"/>
      <c r="G517" s="552"/>
      <c r="H517" s="552"/>
      <c r="I517" s="552"/>
      <c r="J517" s="552"/>
      <c r="K517" s="552"/>
      <c r="L517" s="552"/>
      <c r="M517" s="583"/>
    </row>
    <row r="518" spans="1:13" ht="15" customHeight="1">
      <c r="A518" s="798" t="s">
        <v>784</v>
      </c>
      <c r="B518" s="552" t="s">
        <v>542</v>
      </c>
      <c r="C518" s="607"/>
      <c r="D518" s="607"/>
      <c r="E518" s="552"/>
      <c r="F518" s="552"/>
      <c r="G518" s="552"/>
      <c r="H518" s="552"/>
      <c r="I518" s="552"/>
      <c r="J518" s="552"/>
      <c r="K518" s="552"/>
      <c r="L518" s="552"/>
      <c r="M518" s="583"/>
    </row>
    <row r="519" spans="1:13" ht="15" customHeight="1">
      <c r="A519" s="601"/>
      <c r="B519" s="558" t="s">
        <v>437</v>
      </c>
      <c r="C519" s="953" t="s">
        <v>785</v>
      </c>
      <c r="D519" s="953"/>
      <c r="E519" s="953"/>
      <c r="F519" s="953"/>
      <c r="G519" s="953"/>
      <c r="H519" s="953"/>
      <c r="I519" s="953"/>
      <c r="J519" s="953"/>
      <c r="K519" s="953"/>
      <c r="L519" s="953"/>
      <c r="M519" s="954"/>
    </row>
    <row r="520" spans="1:13" ht="15" customHeight="1">
      <c r="A520" s="601"/>
      <c r="B520" s="558" t="s">
        <v>439</v>
      </c>
      <c r="C520" s="953" t="s">
        <v>786</v>
      </c>
      <c r="D520" s="953"/>
      <c r="E520" s="953"/>
      <c r="F520" s="953"/>
      <c r="G520" s="953"/>
      <c r="H520" s="953"/>
      <c r="I520" s="953"/>
      <c r="J520" s="953"/>
      <c r="K520" s="953"/>
      <c r="L520" s="953"/>
      <c r="M520" s="954"/>
    </row>
    <row r="521" spans="1:13" ht="15" customHeight="1">
      <c r="A521" s="601"/>
      <c r="B521" s="558"/>
      <c r="C521" s="953"/>
      <c r="D521" s="953"/>
      <c r="E521" s="953"/>
      <c r="F521" s="953"/>
      <c r="G521" s="953"/>
      <c r="H521" s="953"/>
      <c r="I521" s="953"/>
      <c r="J521" s="953"/>
      <c r="K521" s="953"/>
      <c r="L521" s="953"/>
      <c r="M521" s="954"/>
    </row>
    <row r="522" spans="1:13" ht="15" customHeight="1">
      <c r="A522" s="608"/>
      <c r="B522" s="560" t="s">
        <v>431</v>
      </c>
      <c r="C522" s="966" t="s">
        <v>787</v>
      </c>
      <c r="D522" s="966"/>
      <c r="E522" s="966"/>
      <c r="F522" s="966"/>
      <c r="G522" s="966"/>
      <c r="H522" s="966"/>
      <c r="I522" s="966"/>
      <c r="J522" s="966"/>
      <c r="K522" s="966"/>
      <c r="L522" s="966"/>
      <c r="M522" s="967"/>
    </row>
    <row r="523" spans="1:13" ht="15" customHeight="1">
      <c r="A523" s="600"/>
      <c r="B523" s="570" t="s">
        <v>433</v>
      </c>
      <c r="C523" s="968" t="s">
        <v>788</v>
      </c>
      <c r="D523" s="968"/>
      <c r="E523" s="968"/>
      <c r="F523" s="968"/>
      <c r="G523" s="968"/>
      <c r="H523" s="968"/>
      <c r="I523" s="968"/>
      <c r="J523" s="968"/>
      <c r="K523" s="968"/>
      <c r="L523" s="968"/>
      <c r="M523" s="969"/>
    </row>
    <row r="524" spans="1:13" ht="15" customHeight="1">
      <c r="A524" s="601"/>
      <c r="B524" s="558"/>
      <c r="C524" s="953"/>
      <c r="D524" s="953"/>
      <c r="E524" s="953"/>
      <c r="F524" s="953"/>
      <c r="G524" s="953"/>
      <c r="H524" s="953"/>
      <c r="I524" s="953"/>
      <c r="J524" s="953"/>
      <c r="K524" s="953"/>
      <c r="L524" s="953"/>
      <c r="M524" s="954"/>
    </row>
    <row r="525" spans="1:13" ht="15" customHeight="1">
      <c r="A525" s="601"/>
      <c r="B525" s="558"/>
      <c r="C525" s="953"/>
      <c r="D525" s="953"/>
      <c r="E525" s="953"/>
      <c r="F525" s="953"/>
      <c r="G525" s="953"/>
      <c r="H525" s="953"/>
      <c r="I525" s="953"/>
      <c r="J525" s="953"/>
      <c r="K525" s="953"/>
      <c r="L525" s="953"/>
      <c r="M525" s="954"/>
    </row>
    <row r="526" spans="1:13" ht="15" customHeight="1">
      <c r="A526" s="601"/>
      <c r="B526" s="558" t="s">
        <v>496</v>
      </c>
      <c r="C526" s="953" t="s">
        <v>789</v>
      </c>
      <c r="D526" s="953"/>
      <c r="E526" s="953"/>
      <c r="F526" s="953"/>
      <c r="G526" s="953"/>
      <c r="H526" s="953"/>
      <c r="I526" s="953"/>
      <c r="J526" s="953"/>
      <c r="K526" s="953"/>
      <c r="L526" s="953"/>
      <c r="M526" s="954"/>
    </row>
    <row r="527" spans="1:13" ht="15" customHeight="1">
      <c r="A527" s="601"/>
      <c r="B527" s="558"/>
      <c r="C527" s="953"/>
      <c r="D527" s="953"/>
      <c r="E527" s="953"/>
      <c r="F527" s="953"/>
      <c r="G527" s="953"/>
      <c r="H527" s="953"/>
      <c r="I527" s="953"/>
      <c r="J527" s="953"/>
      <c r="K527" s="953"/>
      <c r="L527" s="953"/>
      <c r="M527" s="954"/>
    </row>
    <row r="528" spans="1:13" ht="15" customHeight="1">
      <c r="A528" s="601"/>
      <c r="B528" s="558"/>
      <c r="C528" s="953"/>
      <c r="D528" s="953"/>
      <c r="E528" s="953"/>
      <c r="F528" s="953"/>
      <c r="G528" s="953"/>
      <c r="H528" s="953"/>
      <c r="I528" s="953"/>
      <c r="J528" s="953"/>
      <c r="K528" s="953"/>
      <c r="L528" s="953"/>
      <c r="M528" s="954"/>
    </row>
    <row r="529" spans="1:13" ht="15" customHeight="1">
      <c r="A529" s="601"/>
      <c r="B529" s="558"/>
      <c r="C529" s="953"/>
      <c r="D529" s="953"/>
      <c r="E529" s="953"/>
      <c r="F529" s="953"/>
      <c r="G529" s="953"/>
      <c r="H529" s="953"/>
      <c r="I529" s="953"/>
      <c r="J529" s="953"/>
      <c r="K529" s="953"/>
      <c r="L529" s="953"/>
      <c r="M529" s="954"/>
    </row>
    <row r="530" spans="1:13" ht="15" customHeight="1">
      <c r="A530" s="601"/>
      <c r="B530" s="558" t="s">
        <v>498</v>
      </c>
      <c r="C530" s="953" t="s">
        <v>790</v>
      </c>
      <c r="D530" s="953"/>
      <c r="E530" s="953"/>
      <c r="F530" s="953"/>
      <c r="G530" s="953"/>
      <c r="H530" s="953"/>
      <c r="I530" s="953"/>
      <c r="J530" s="953"/>
      <c r="K530" s="953"/>
      <c r="L530" s="953"/>
      <c r="M530" s="954"/>
    </row>
    <row r="531" spans="1:13" ht="15" customHeight="1">
      <c r="A531" s="601"/>
      <c r="B531" s="558"/>
      <c r="C531" s="953"/>
      <c r="D531" s="953"/>
      <c r="E531" s="953"/>
      <c r="F531" s="953"/>
      <c r="G531" s="953"/>
      <c r="H531" s="953"/>
      <c r="I531" s="953"/>
      <c r="J531" s="953"/>
      <c r="K531" s="953"/>
      <c r="L531" s="953"/>
      <c r="M531" s="954"/>
    </row>
    <row r="532" spans="1:13" ht="15" customHeight="1">
      <c r="A532" s="601"/>
      <c r="B532" s="558"/>
      <c r="C532" s="558" t="s">
        <v>459</v>
      </c>
      <c r="D532" s="953" t="s">
        <v>791</v>
      </c>
      <c r="E532" s="953"/>
      <c r="F532" s="953"/>
      <c r="G532" s="953"/>
      <c r="H532" s="953"/>
      <c r="I532" s="953"/>
      <c r="J532" s="953"/>
      <c r="K532" s="953"/>
      <c r="L532" s="953"/>
      <c r="M532" s="954"/>
    </row>
    <row r="533" spans="1:13" ht="15" customHeight="1">
      <c r="A533" s="601"/>
      <c r="B533" s="558"/>
      <c r="C533" s="558" t="s">
        <v>461</v>
      </c>
      <c r="D533" s="953" t="s">
        <v>792</v>
      </c>
      <c r="E533" s="953"/>
      <c r="F533" s="953"/>
      <c r="G533" s="953"/>
      <c r="H533" s="953"/>
      <c r="I533" s="953"/>
      <c r="J533" s="953"/>
      <c r="K533" s="953"/>
      <c r="L533" s="953"/>
      <c r="M533" s="954"/>
    </row>
    <row r="534" spans="1:13" ht="15" customHeight="1">
      <c r="A534" s="601"/>
      <c r="B534" s="558"/>
      <c r="C534" s="558"/>
      <c r="D534" s="953"/>
      <c r="E534" s="953"/>
      <c r="F534" s="953"/>
      <c r="G534" s="953"/>
      <c r="H534" s="953"/>
      <c r="I534" s="953"/>
      <c r="J534" s="953"/>
      <c r="K534" s="953"/>
      <c r="L534" s="953"/>
      <c r="M534" s="954"/>
    </row>
    <row r="535" spans="1:13" ht="15" customHeight="1">
      <c r="A535" s="601"/>
      <c r="B535" s="558"/>
      <c r="C535" s="558" t="s">
        <v>469</v>
      </c>
      <c r="D535" s="964" t="s">
        <v>793</v>
      </c>
      <c r="E535" s="964"/>
      <c r="F535" s="964"/>
      <c r="G535" s="964"/>
      <c r="H535" s="964"/>
      <c r="I535" s="964"/>
      <c r="J535" s="964"/>
      <c r="K535" s="964"/>
      <c r="L535" s="964"/>
      <c r="M535" s="965"/>
    </row>
    <row r="536" spans="1:13" ht="15" customHeight="1">
      <c r="A536" s="601"/>
      <c r="B536" s="558"/>
      <c r="C536" s="558" t="s">
        <v>515</v>
      </c>
      <c r="D536" s="953" t="s">
        <v>794</v>
      </c>
      <c r="E536" s="953"/>
      <c r="F536" s="953"/>
      <c r="G536" s="953"/>
      <c r="H536" s="953"/>
      <c r="I536" s="953"/>
      <c r="J536" s="953"/>
      <c r="K536" s="953"/>
      <c r="L536" s="953"/>
      <c r="M536" s="954"/>
    </row>
    <row r="537" spans="1:13" ht="15" customHeight="1">
      <c r="A537" s="601"/>
      <c r="B537" s="558"/>
      <c r="C537" s="558" t="s">
        <v>525</v>
      </c>
      <c r="D537" s="953" t="s">
        <v>795</v>
      </c>
      <c r="E537" s="953"/>
      <c r="F537" s="953"/>
      <c r="G537" s="953"/>
      <c r="H537" s="953"/>
      <c r="I537" s="953"/>
      <c r="J537" s="953"/>
      <c r="K537" s="953"/>
      <c r="L537" s="953"/>
      <c r="M537" s="954"/>
    </row>
    <row r="538" spans="1:13" ht="15" customHeight="1">
      <c r="A538" s="601"/>
      <c r="B538" s="558"/>
      <c r="C538" s="558" t="s">
        <v>527</v>
      </c>
      <c r="D538" s="964" t="s">
        <v>796</v>
      </c>
      <c r="E538" s="964"/>
      <c r="F538" s="964"/>
      <c r="G538" s="964"/>
      <c r="H538" s="964"/>
      <c r="I538" s="964"/>
      <c r="J538" s="964"/>
      <c r="K538" s="964"/>
      <c r="L538" s="964"/>
      <c r="M538" s="965"/>
    </row>
    <row r="539" spans="1:13" ht="15" customHeight="1">
      <c r="A539" s="601"/>
      <c r="B539" s="558"/>
      <c r="C539" s="558"/>
      <c r="D539" s="964"/>
      <c r="E539" s="964"/>
      <c r="F539" s="964"/>
      <c r="G539" s="964"/>
      <c r="H539" s="964"/>
      <c r="I539" s="964"/>
      <c r="J539" s="964"/>
      <c r="K539" s="964"/>
      <c r="L539" s="964"/>
      <c r="M539" s="965"/>
    </row>
    <row r="540" spans="1:13" ht="15" customHeight="1">
      <c r="A540" s="601"/>
      <c r="B540" s="558"/>
      <c r="C540" s="558" t="s">
        <v>529</v>
      </c>
      <c r="D540" s="953" t="s">
        <v>797</v>
      </c>
      <c r="E540" s="953"/>
      <c r="F540" s="953"/>
      <c r="G540" s="953"/>
      <c r="H540" s="953"/>
      <c r="I540" s="953"/>
      <c r="J540" s="953"/>
      <c r="K540" s="953"/>
      <c r="L540" s="953"/>
      <c r="M540" s="954"/>
    </row>
    <row r="541" spans="1:13" ht="15" customHeight="1">
      <c r="A541" s="601"/>
      <c r="B541" s="558"/>
      <c r="C541" s="558"/>
      <c r="D541" s="953"/>
      <c r="E541" s="953"/>
      <c r="F541" s="953"/>
      <c r="G541" s="953"/>
      <c r="H541" s="953"/>
      <c r="I541" s="953"/>
      <c r="J541" s="953"/>
      <c r="K541" s="953"/>
      <c r="L541" s="953"/>
      <c r="M541" s="954"/>
    </row>
    <row r="542" spans="1:13" ht="15" customHeight="1">
      <c r="A542" s="601"/>
      <c r="B542" s="558"/>
      <c r="C542" s="558"/>
      <c r="D542" s="953"/>
      <c r="E542" s="953"/>
      <c r="F542" s="953"/>
      <c r="G542" s="953"/>
      <c r="H542" s="953"/>
      <c r="I542" s="953"/>
      <c r="J542" s="953"/>
      <c r="K542" s="953"/>
      <c r="L542" s="953"/>
      <c r="M542" s="954"/>
    </row>
    <row r="543" spans="1:13" ht="15" customHeight="1">
      <c r="A543" s="601"/>
      <c r="B543" s="558"/>
      <c r="C543" s="558" t="s">
        <v>531</v>
      </c>
      <c r="D543" s="953" t="s">
        <v>798</v>
      </c>
      <c r="E543" s="953"/>
      <c r="F543" s="953"/>
      <c r="G543" s="953"/>
      <c r="H543" s="953"/>
      <c r="I543" s="953"/>
      <c r="J543" s="953"/>
      <c r="K543" s="953"/>
      <c r="L543" s="953"/>
      <c r="M543" s="954"/>
    </row>
    <row r="544" spans="1:13" ht="15" customHeight="1">
      <c r="A544" s="601"/>
      <c r="B544" s="558"/>
      <c r="C544" s="558"/>
      <c r="D544" s="953"/>
      <c r="E544" s="953"/>
      <c r="F544" s="953"/>
      <c r="G544" s="953"/>
      <c r="H544" s="953"/>
      <c r="I544" s="953"/>
      <c r="J544" s="953"/>
      <c r="K544" s="953"/>
      <c r="L544" s="953"/>
      <c r="M544" s="954"/>
    </row>
    <row r="545" spans="1:13" ht="15" customHeight="1">
      <c r="A545" s="601"/>
      <c r="B545" s="558"/>
      <c r="C545" s="558" t="s">
        <v>555</v>
      </c>
      <c r="D545" s="964" t="s">
        <v>799</v>
      </c>
      <c r="E545" s="964"/>
      <c r="F545" s="964"/>
      <c r="G545" s="964"/>
      <c r="H545" s="964"/>
      <c r="I545" s="964"/>
      <c r="J545" s="964"/>
      <c r="K545" s="964"/>
      <c r="L545" s="964"/>
      <c r="M545" s="965"/>
    </row>
    <row r="546" spans="1:13" ht="15" customHeight="1">
      <c r="A546" s="601"/>
      <c r="B546" s="558"/>
      <c r="C546" s="558"/>
      <c r="D546" s="964"/>
      <c r="E546" s="964"/>
      <c r="F546" s="964"/>
      <c r="G546" s="964"/>
      <c r="H546" s="964"/>
      <c r="I546" s="964"/>
      <c r="J546" s="964"/>
      <c r="K546" s="964"/>
      <c r="L546" s="964"/>
      <c r="M546" s="965"/>
    </row>
    <row r="547" spans="1:13" ht="15" customHeight="1">
      <c r="A547" s="601"/>
      <c r="B547" s="558"/>
      <c r="C547" s="558"/>
      <c r="D547" s="964"/>
      <c r="E547" s="964"/>
      <c r="F547" s="964"/>
      <c r="G547" s="964"/>
      <c r="H547" s="964"/>
      <c r="I547" s="964"/>
      <c r="J547" s="964"/>
      <c r="K547" s="964"/>
      <c r="L547" s="964"/>
      <c r="M547" s="965"/>
    </row>
    <row r="548" spans="1:13" ht="15" customHeight="1">
      <c r="A548" s="601"/>
      <c r="B548" s="558"/>
      <c r="C548" s="558" t="s">
        <v>557</v>
      </c>
      <c r="D548" s="953" t="s">
        <v>800</v>
      </c>
      <c r="E548" s="953"/>
      <c r="F548" s="953"/>
      <c r="G548" s="953"/>
      <c r="H548" s="953"/>
      <c r="I548" s="953"/>
      <c r="J548" s="953"/>
      <c r="K548" s="953"/>
      <c r="L548" s="953"/>
      <c r="M548" s="954"/>
    </row>
    <row r="549" spans="1:13" ht="15" customHeight="1">
      <c r="A549" s="601"/>
      <c r="B549" s="558"/>
      <c r="C549" s="558" t="s">
        <v>801</v>
      </c>
      <c r="D549" s="953" t="s">
        <v>802</v>
      </c>
      <c r="E549" s="953"/>
      <c r="F549" s="953"/>
      <c r="G549" s="953"/>
      <c r="H549" s="953"/>
      <c r="I549" s="953"/>
      <c r="J549" s="953"/>
      <c r="K549" s="953"/>
      <c r="L549" s="953"/>
      <c r="M549" s="954"/>
    </row>
    <row r="550" spans="1:13" ht="15" customHeight="1">
      <c r="A550" s="601"/>
      <c r="B550" s="558"/>
      <c r="C550" s="558"/>
      <c r="D550" s="953"/>
      <c r="E550" s="953"/>
      <c r="F550" s="953"/>
      <c r="G550" s="953"/>
      <c r="H550" s="953"/>
      <c r="I550" s="953"/>
      <c r="J550" s="953"/>
      <c r="K550" s="953"/>
      <c r="L550" s="953"/>
      <c r="M550" s="954"/>
    </row>
    <row r="551" spans="1:13" ht="15" customHeight="1">
      <c r="A551" s="601"/>
      <c r="B551" s="558"/>
      <c r="C551" s="558"/>
      <c r="D551" s="953"/>
      <c r="E551" s="953"/>
      <c r="F551" s="953"/>
      <c r="G551" s="953"/>
      <c r="H551" s="953"/>
      <c r="I551" s="953"/>
      <c r="J551" s="953"/>
      <c r="K551" s="953"/>
      <c r="L551" s="953"/>
      <c r="M551" s="954"/>
    </row>
    <row r="552" spans="1:13" ht="15" customHeight="1">
      <c r="A552" s="601"/>
      <c r="B552" s="558"/>
      <c r="C552" s="558" t="s">
        <v>803</v>
      </c>
      <c r="D552" s="964" t="s">
        <v>804</v>
      </c>
      <c r="E552" s="964"/>
      <c r="F552" s="964"/>
      <c r="G552" s="964"/>
      <c r="H552" s="964"/>
      <c r="I552" s="964"/>
      <c r="J552" s="964"/>
      <c r="K552" s="964"/>
      <c r="L552" s="964"/>
      <c r="M552" s="965"/>
    </row>
    <row r="553" spans="1:13" ht="15" customHeight="1">
      <c r="A553" s="601"/>
      <c r="B553" s="558"/>
      <c r="C553" s="558"/>
      <c r="D553" s="964"/>
      <c r="E553" s="964"/>
      <c r="F553" s="964"/>
      <c r="G553" s="964"/>
      <c r="H553" s="964"/>
      <c r="I553" s="964"/>
      <c r="J553" s="964"/>
      <c r="K553" s="964"/>
      <c r="L553" s="964"/>
      <c r="M553" s="965"/>
    </row>
    <row r="554" spans="1:13" ht="15" customHeight="1">
      <c r="A554" s="601"/>
      <c r="B554" s="558" t="s">
        <v>598</v>
      </c>
      <c r="C554" s="953" t="s">
        <v>805</v>
      </c>
      <c r="D554" s="953"/>
      <c r="E554" s="953"/>
      <c r="F554" s="953"/>
      <c r="G554" s="953"/>
      <c r="H554" s="953"/>
      <c r="I554" s="953"/>
      <c r="J554" s="953"/>
      <c r="K554" s="953"/>
      <c r="L554" s="953"/>
      <c r="M554" s="954"/>
    </row>
    <row r="555" spans="1:13" ht="15" customHeight="1">
      <c r="A555" s="601"/>
      <c r="B555" s="558"/>
      <c r="C555" s="558" t="s">
        <v>459</v>
      </c>
      <c r="D555" s="953" t="s">
        <v>806</v>
      </c>
      <c r="E555" s="953"/>
      <c r="F555" s="953"/>
      <c r="G555" s="953"/>
      <c r="H555" s="953"/>
      <c r="I555" s="953"/>
      <c r="J555" s="953"/>
      <c r="K555" s="953"/>
      <c r="L555" s="953"/>
      <c r="M555" s="954"/>
    </row>
    <row r="556" spans="1:13" ht="15" customHeight="1">
      <c r="A556" s="601"/>
      <c r="B556" s="558"/>
      <c r="C556" s="558" t="s">
        <v>461</v>
      </c>
      <c r="D556" s="953" t="s">
        <v>807</v>
      </c>
      <c r="E556" s="953"/>
      <c r="F556" s="953"/>
      <c r="G556" s="953"/>
      <c r="H556" s="953"/>
      <c r="I556" s="953"/>
      <c r="J556" s="953"/>
      <c r="K556" s="953"/>
      <c r="L556" s="953"/>
      <c r="M556" s="954"/>
    </row>
    <row r="557" spans="1:13" ht="15" customHeight="1">
      <c r="A557" s="601"/>
      <c r="B557" s="558"/>
      <c r="C557" s="558" t="s">
        <v>469</v>
      </c>
      <c r="D557" s="964" t="s">
        <v>562</v>
      </c>
      <c r="E557" s="964"/>
      <c r="F557" s="964"/>
      <c r="G557" s="964"/>
      <c r="H557" s="964"/>
      <c r="I557" s="964"/>
      <c r="J557" s="964"/>
      <c r="K557" s="964"/>
      <c r="L557" s="964"/>
      <c r="M557" s="965"/>
    </row>
    <row r="558" spans="1:13" ht="15" customHeight="1">
      <c r="A558" s="601"/>
      <c r="B558" s="558" t="s">
        <v>599</v>
      </c>
      <c r="C558" s="953" t="s">
        <v>808</v>
      </c>
      <c r="D558" s="953"/>
      <c r="E558" s="953"/>
      <c r="F558" s="953"/>
      <c r="G558" s="953"/>
      <c r="H558" s="953"/>
      <c r="I558" s="953"/>
      <c r="J558" s="953"/>
      <c r="K558" s="953"/>
      <c r="L558" s="953"/>
      <c r="M558" s="954"/>
    </row>
    <row r="559" spans="1:13" ht="15" customHeight="1">
      <c r="A559" s="601"/>
      <c r="B559" s="558"/>
      <c r="C559" s="558" t="s">
        <v>459</v>
      </c>
      <c r="D559" s="953" t="s">
        <v>809</v>
      </c>
      <c r="E559" s="953"/>
      <c r="F559" s="953"/>
      <c r="G559" s="953"/>
      <c r="H559" s="953"/>
      <c r="I559" s="953"/>
      <c r="J559" s="953"/>
      <c r="K559" s="953"/>
      <c r="L559" s="953"/>
      <c r="M559" s="954"/>
    </row>
    <row r="560" spans="1:13" ht="15" customHeight="1">
      <c r="A560" s="601"/>
      <c r="B560" s="558"/>
      <c r="C560" s="558"/>
      <c r="D560" s="953"/>
      <c r="E560" s="953"/>
      <c r="F560" s="953"/>
      <c r="G560" s="953"/>
      <c r="H560" s="953"/>
      <c r="I560" s="953"/>
      <c r="J560" s="953"/>
      <c r="K560" s="953"/>
      <c r="L560" s="953"/>
      <c r="M560" s="954"/>
    </row>
    <row r="561" spans="1:13" ht="15" customHeight="1">
      <c r="A561" s="601"/>
      <c r="B561" s="558"/>
      <c r="C561" s="558" t="s">
        <v>461</v>
      </c>
      <c r="D561" s="953" t="s">
        <v>810</v>
      </c>
      <c r="E561" s="953"/>
      <c r="F561" s="953"/>
      <c r="G561" s="953"/>
      <c r="H561" s="953"/>
      <c r="I561" s="953"/>
      <c r="J561" s="953"/>
      <c r="K561" s="953"/>
      <c r="L561" s="953"/>
      <c r="M561" s="954"/>
    </row>
    <row r="562" spans="1:13" ht="15" customHeight="1">
      <c r="A562" s="601"/>
      <c r="B562" s="558" t="s">
        <v>674</v>
      </c>
      <c r="C562" s="953" t="s">
        <v>811</v>
      </c>
      <c r="D562" s="953"/>
      <c r="E562" s="953"/>
      <c r="F562" s="953"/>
      <c r="G562" s="953"/>
      <c r="H562" s="953"/>
      <c r="I562" s="953"/>
      <c r="J562" s="953"/>
      <c r="K562" s="953"/>
      <c r="L562" s="953"/>
      <c r="M562" s="954"/>
    </row>
    <row r="563" spans="1:13" ht="15" customHeight="1">
      <c r="A563" s="601"/>
      <c r="B563" s="558"/>
      <c r="C563" s="953"/>
      <c r="D563" s="953"/>
      <c r="E563" s="953"/>
      <c r="F563" s="953"/>
      <c r="G563" s="953"/>
      <c r="H563" s="953"/>
      <c r="I563" s="953"/>
      <c r="J563" s="953"/>
      <c r="K563" s="953"/>
      <c r="L563" s="953"/>
      <c r="M563" s="954"/>
    </row>
    <row r="564" spans="1:13" ht="15" customHeight="1">
      <c r="A564" s="601"/>
      <c r="B564" s="558"/>
      <c r="C564" s="953"/>
      <c r="D564" s="953"/>
      <c r="E564" s="953"/>
      <c r="F564" s="953"/>
      <c r="G564" s="953"/>
      <c r="H564" s="953"/>
      <c r="I564" s="953"/>
      <c r="J564" s="953"/>
      <c r="K564" s="953"/>
      <c r="L564" s="953"/>
      <c r="M564" s="954"/>
    </row>
    <row r="565" spans="1:13" ht="15" customHeight="1">
      <c r="A565" s="601"/>
      <c r="B565" s="558" t="s">
        <v>812</v>
      </c>
      <c r="C565" s="953" t="s">
        <v>813</v>
      </c>
      <c r="D565" s="953"/>
      <c r="E565" s="953"/>
      <c r="F565" s="953"/>
      <c r="G565" s="953"/>
      <c r="H565" s="953"/>
      <c r="I565" s="953"/>
      <c r="J565" s="953"/>
      <c r="K565" s="953"/>
      <c r="L565" s="953"/>
      <c r="M565" s="954"/>
    </row>
    <row r="566" spans="1:13" ht="15" customHeight="1">
      <c r="A566" s="601"/>
      <c r="B566" s="558" t="s">
        <v>814</v>
      </c>
      <c r="C566" s="953" t="s">
        <v>815</v>
      </c>
      <c r="D566" s="953"/>
      <c r="E566" s="953"/>
      <c r="F566" s="953"/>
      <c r="G566" s="953"/>
      <c r="H566" s="953"/>
      <c r="I566" s="953"/>
      <c r="J566" s="953"/>
      <c r="K566" s="953"/>
      <c r="L566" s="953"/>
      <c r="M566" s="954"/>
    </row>
    <row r="567" spans="1:13" ht="15" customHeight="1">
      <c r="A567" s="601"/>
      <c r="B567" s="558"/>
      <c r="C567" s="953"/>
      <c r="D567" s="953"/>
      <c r="E567" s="953"/>
      <c r="F567" s="953"/>
      <c r="G567" s="953"/>
      <c r="H567" s="953"/>
      <c r="I567" s="953"/>
      <c r="J567" s="953"/>
      <c r="K567" s="953"/>
      <c r="L567" s="953"/>
      <c r="M567" s="954"/>
    </row>
    <row r="568" spans="1:13" ht="15" customHeight="1">
      <c r="A568" s="601"/>
      <c r="B568" s="558"/>
      <c r="C568" s="953"/>
      <c r="D568" s="953"/>
      <c r="E568" s="953"/>
      <c r="F568" s="953"/>
      <c r="G568" s="953"/>
      <c r="H568" s="953"/>
      <c r="I568" s="953"/>
      <c r="J568" s="953"/>
      <c r="K568" s="953"/>
      <c r="L568" s="953"/>
      <c r="M568" s="954"/>
    </row>
    <row r="569" spans="1:13" ht="15" customHeight="1">
      <c r="A569" s="608"/>
      <c r="B569" s="555"/>
      <c r="C569" s="610"/>
      <c r="D569" s="610"/>
      <c r="E569" s="555"/>
      <c r="F569" s="555"/>
      <c r="G569" s="555"/>
      <c r="H569" s="555"/>
      <c r="I569" s="555"/>
      <c r="J569" s="555"/>
      <c r="K569" s="555"/>
      <c r="L569" s="555"/>
      <c r="M569" s="585"/>
    </row>
    <row r="570" spans="1:13" ht="15" customHeight="1">
      <c r="A570" s="800" t="s">
        <v>816</v>
      </c>
      <c r="B570" s="550" t="s">
        <v>565</v>
      </c>
      <c r="C570" s="609"/>
      <c r="D570" s="609"/>
      <c r="E570" s="550"/>
      <c r="F570" s="550"/>
      <c r="G570" s="550"/>
      <c r="H570" s="550"/>
      <c r="I570" s="550"/>
      <c r="J570" s="550"/>
      <c r="K570" s="550"/>
      <c r="L570" s="550"/>
      <c r="M570" s="581"/>
    </row>
    <row r="571" spans="1:13" ht="15" customHeight="1">
      <c r="A571" s="601"/>
      <c r="B571" s="558" t="s">
        <v>437</v>
      </c>
      <c r="C571" s="953" t="s">
        <v>817</v>
      </c>
      <c r="D571" s="953"/>
      <c r="E571" s="953"/>
      <c r="F571" s="953"/>
      <c r="G571" s="953"/>
      <c r="H571" s="953"/>
      <c r="I571" s="953"/>
      <c r="J571" s="953"/>
      <c r="K571" s="953"/>
      <c r="L571" s="953"/>
      <c r="M571" s="954"/>
    </row>
    <row r="572" spans="1:13" ht="15" customHeight="1">
      <c r="A572" s="601"/>
      <c r="B572" s="558"/>
      <c r="C572" s="953"/>
      <c r="D572" s="953"/>
      <c r="E572" s="953"/>
      <c r="F572" s="953"/>
      <c r="G572" s="953"/>
      <c r="H572" s="953"/>
      <c r="I572" s="953"/>
      <c r="J572" s="953"/>
      <c r="K572" s="953"/>
      <c r="L572" s="953"/>
      <c r="M572" s="954"/>
    </row>
    <row r="573" spans="1:13" ht="15" customHeight="1">
      <c r="A573" s="601"/>
      <c r="B573" s="558"/>
      <c r="C573" s="558" t="s">
        <v>459</v>
      </c>
      <c r="D573" s="953" t="s">
        <v>818</v>
      </c>
      <c r="E573" s="953"/>
      <c r="F573" s="953"/>
      <c r="G573" s="953"/>
      <c r="H573" s="953"/>
      <c r="I573" s="953"/>
      <c r="J573" s="953"/>
      <c r="K573" s="953"/>
      <c r="L573" s="953"/>
      <c r="M573" s="954"/>
    </row>
    <row r="574" spans="1:13" ht="15" customHeight="1">
      <c r="A574" s="601"/>
      <c r="B574" s="558"/>
      <c r="C574" s="558" t="s">
        <v>461</v>
      </c>
      <c r="D574" s="953" t="s">
        <v>819</v>
      </c>
      <c r="E574" s="953"/>
      <c r="F574" s="953"/>
      <c r="G574" s="953"/>
      <c r="H574" s="953"/>
      <c r="I574" s="953"/>
      <c r="J574" s="953"/>
      <c r="K574" s="953"/>
      <c r="L574" s="953"/>
      <c r="M574" s="954"/>
    </row>
    <row r="575" spans="1:13" ht="15" customHeight="1">
      <c r="A575" s="601"/>
      <c r="B575" s="558"/>
      <c r="C575" s="558"/>
      <c r="D575" s="953"/>
      <c r="E575" s="953"/>
      <c r="F575" s="953"/>
      <c r="G575" s="953"/>
      <c r="H575" s="953"/>
      <c r="I575" s="953"/>
      <c r="J575" s="953"/>
      <c r="K575" s="953"/>
      <c r="L575" s="953"/>
      <c r="M575" s="954"/>
    </row>
    <row r="576" spans="1:13" ht="15" customHeight="1">
      <c r="A576" s="601"/>
      <c r="B576" s="558"/>
      <c r="C576" s="558" t="s">
        <v>469</v>
      </c>
      <c r="D576" s="964" t="s">
        <v>820</v>
      </c>
      <c r="E576" s="964"/>
      <c r="F576" s="964"/>
      <c r="G576" s="964"/>
      <c r="H576" s="964"/>
      <c r="I576" s="964"/>
      <c r="J576" s="964"/>
      <c r="K576" s="964"/>
      <c r="L576" s="964"/>
      <c r="M576" s="965"/>
    </row>
    <row r="577" spans="1:13" ht="15" customHeight="1">
      <c r="A577" s="601"/>
      <c r="B577" s="558"/>
      <c r="C577" s="558" t="s">
        <v>515</v>
      </c>
      <c r="D577" s="953" t="s">
        <v>821</v>
      </c>
      <c r="E577" s="953"/>
      <c r="F577" s="953"/>
      <c r="G577" s="953"/>
      <c r="H577" s="953"/>
      <c r="I577" s="953"/>
      <c r="J577" s="953"/>
      <c r="K577" s="953"/>
      <c r="L577" s="953"/>
      <c r="M577" s="954"/>
    </row>
    <row r="578" spans="1:13" ht="15" customHeight="1">
      <c r="A578" s="601"/>
      <c r="B578" s="558"/>
      <c r="C578" s="558" t="s">
        <v>525</v>
      </c>
      <c r="D578" s="953" t="s">
        <v>822</v>
      </c>
      <c r="E578" s="953"/>
      <c r="F578" s="953"/>
      <c r="G578" s="953"/>
      <c r="H578" s="953"/>
      <c r="I578" s="953"/>
      <c r="J578" s="953"/>
      <c r="K578" s="953"/>
      <c r="L578" s="953"/>
      <c r="M578" s="954"/>
    </row>
    <row r="579" spans="1:13" ht="15" customHeight="1">
      <c r="A579" s="601"/>
      <c r="B579" s="558"/>
      <c r="C579" s="558"/>
      <c r="D579" s="558" t="s">
        <v>674</v>
      </c>
      <c r="E579" s="552" t="s">
        <v>823</v>
      </c>
      <c r="F579" s="558"/>
      <c r="G579" s="558"/>
      <c r="H579" s="558"/>
      <c r="I579" s="558"/>
      <c r="J579" s="558"/>
      <c r="K579" s="558"/>
      <c r="L579" s="558"/>
      <c r="M579" s="589"/>
    </row>
    <row r="580" spans="1:13" ht="15" customHeight="1">
      <c r="A580" s="601"/>
      <c r="B580" s="558"/>
      <c r="C580" s="558"/>
      <c r="D580" s="558" t="s">
        <v>824</v>
      </c>
      <c r="E580" s="552" t="s">
        <v>825</v>
      </c>
      <c r="F580" s="558"/>
      <c r="G580" s="558"/>
      <c r="H580" s="558"/>
      <c r="I580" s="558"/>
      <c r="J580" s="558"/>
      <c r="K580" s="558"/>
      <c r="L580" s="558"/>
      <c r="M580" s="589"/>
    </row>
    <row r="581" spans="1:13" ht="15" customHeight="1">
      <c r="A581" s="601"/>
      <c r="B581" s="558"/>
      <c r="C581" s="558"/>
      <c r="D581" s="558" t="s">
        <v>826</v>
      </c>
      <c r="E581" s="552" t="s">
        <v>827</v>
      </c>
      <c r="F581" s="558"/>
      <c r="G581" s="558"/>
      <c r="H581" s="558"/>
      <c r="I581" s="558"/>
      <c r="J581" s="558"/>
      <c r="K581" s="558"/>
      <c r="L581" s="558"/>
      <c r="M581" s="589"/>
    </row>
    <row r="582" spans="1:13" ht="15" customHeight="1">
      <c r="A582" s="601"/>
      <c r="B582" s="558"/>
      <c r="C582" s="558"/>
      <c r="D582" s="548" t="s">
        <v>828</v>
      </c>
      <c r="E582" s="552" t="s">
        <v>829</v>
      </c>
      <c r="F582" s="548"/>
      <c r="G582" s="548"/>
      <c r="H582" s="548"/>
      <c r="I582" s="548"/>
      <c r="J582" s="548"/>
      <c r="K582" s="548"/>
      <c r="L582" s="548"/>
      <c r="M582" s="577"/>
    </row>
    <row r="583" spans="1:13" ht="15" customHeight="1">
      <c r="A583" s="601"/>
      <c r="B583" s="558" t="s">
        <v>439</v>
      </c>
      <c r="C583" s="953" t="s">
        <v>830</v>
      </c>
      <c r="D583" s="953"/>
      <c r="E583" s="953"/>
      <c r="F583" s="953"/>
      <c r="G583" s="953"/>
      <c r="H583" s="953"/>
      <c r="I583" s="953"/>
      <c r="J583" s="953"/>
      <c r="K583" s="953"/>
      <c r="L583" s="953"/>
      <c r="M583" s="954"/>
    </row>
    <row r="584" spans="1:13" ht="15" customHeight="1">
      <c r="A584" s="601"/>
      <c r="B584" s="558"/>
      <c r="C584" s="953"/>
      <c r="D584" s="953"/>
      <c r="E584" s="953"/>
      <c r="F584" s="953"/>
      <c r="G584" s="953"/>
      <c r="H584" s="953"/>
      <c r="I584" s="953"/>
      <c r="J584" s="953"/>
      <c r="K584" s="953"/>
      <c r="L584" s="953"/>
      <c r="M584" s="954"/>
    </row>
    <row r="585" spans="1:13" ht="15" customHeight="1">
      <c r="A585" s="601"/>
      <c r="B585" s="558" t="s">
        <v>431</v>
      </c>
      <c r="C585" s="953" t="s">
        <v>831</v>
      </c>
      <c r="D585" s="953"/>
      <c r="E585" s="953"/>
      <c r="F585" s="953"/>
      <c r="G585" s="953"/>
      <c r="H585" s="953"/>
      <c r="I585" s="953"/>
      <c r="J585" s="953"/>
      <c r="K585" s="953"/>
      <c r="L585" s="953"/>
      <c r="M585" s="954"/>
    </row>
    <row r="586" spans="1:13" ht="15" customHeight="1">
      <c r="A586" s="601"/>
      <c r="B586" s="558"/>
      <c r="C586" s="953"/>
      <c r="D586" s="953"/>
      <c r="E586" s="953"/>
      <c r="F586" s="953"/>
      <c r="G586" s="953"/>
      <c r="H586" s="953"/>
      <c r="I586" s="953"/>
      <c r="J586" s="953"/>
      <c r="K586" s="953"/>
      <c r="L586" s="953"/>
      <c r="M586" s="954"/>
    </row>
    <row r="587" spans="1:13" ht="15" customHeight="1">
      <c r="A587" s="601"/>
      <c r="B587" s="558"/>
      <c r="C587" s="953"/>
      <c r="D587" s="953"/>
      <c r="E587" s="953"/>
      <c r="F587" s="953"/>
      <c r="G587" s="953"/>
      <c r="H587" s="953"/>
      <c r="I587" s="953"/>
      <c r="J587" s="953"/>
      <c r="K587" s="953"/>
      <c r="L587" s="953"/>
      <c r="M587" s="954"/>
    </row>
    <row r="588" spans="1:13" ht="15" customHeight="1">
      <c r="A588" s="601"/>
      <c r="B588" s="558"/>
      <c r="C588" s="953"/>
      <c r="D588" s="953"/>
      <c r="E588" s="953"/>
      <c r="F588" s="953"/>
      <c r="G588" s="953"/>
      <c r="H588" s="953"/>
      <c r="I588" s="953"/>
      <c r="J588" s="953"/>
      <c r="K588" s="953"/>
      <c r="L588" s="953"/>
      <c r="M588" s="954"/>
    </row>
    <row r="589" spans="1:13" ht="15" customHeight="1">
      <c r="A589" s="601"/>
      <c r="B589" s="558"/>
      <c r="C589" s="953"/>
      <c r="D589" s="953"/>
      <c r="E589" s="953"/>
      <c r="F589" s="953"/>
      <c r="G589" s="953"/>
      <c r="H589" s="953"/>
      <c r="I589" s="953"/>
      <c r="J589" s="953"/>
      <c r="K589" s="953"/>
      <c r="L589" s="953"/>
      <c r="M589" s="954"/>
    </row>
    <row r="590" spans="1:13" ht="15" customHeight="1">
      <c r="A590" s="601"/>
      <c r="B590" s="558" t="s">
        <v>433</v>
      </c>
      <c r="C590" s="953" t="s">
        <v>832</v>
      </c>
      <c r="D590" s="953"/>
      <c r="E590" s="953"/>
      <c r="F590" s="953"/>
      <c r="G590" s="953"/>
      <c r="H590" s="953"/>
      <c r="I590" s="953"/>
      <c r="J590" s="953"/>
      <c r="K590" s="953"/>
      <c r="L590" s="953"/>
      <c r="M590" s="954"/>
    </row>
    <row r="591" spans="1:13" ht="15" customHeight="1">
      <c r="A591" s="601"/>
      <c r="B591" s="558"/>
      <c r="C591" s="953"/>
      <c r="D591" s="953"/>
      <c r="E591" s="953"/>
      <c r="F591" s="953"/>
      <c r="G591" s="953"/>
      <c r="H591" s="953"/>
      <c r="I591" s="953"/>
      <c r="J591" s="953"/>
      <c r="K591" s="953"/>
      <c r="L591" s="953"/>
      <c r="M591" s="954"/>
    </row>
    <row r="592" spans="1:13" ht="15" customHeight="1">
      <c r="A592" s="601"/>
      <c r="B592" s="558"/>
      <c r="C592" s="953"/>
      <c r="D592" s="953"/>
      <c r="E592" s="953"/>
      <c r="F592" s="953"/>
      <c r="G592" s="953"/>
      <c r="H592" s="953"/>
      <c r="I592" s="953"/>
      <c r="J592" s="953"/>
      <c r="K592" s="953"/>
      <c r="L592" s="953"/>
      <c r="M592" s="954"/>
    </row>
    <row r="593" spans="1:13" ht="15" customHeight="1">
      <c r="A593" s="601"/>
      <c r="B593" s="558" t="s">
        <v>496</v>
      </c>
      <c r="C593" s="953" t="s">
        <v>833</v>
      </c>
      <c r="D593" s="953"/>
      <c r="E593" s="953"/>
      <c r="F593" s="953"/>
      <c r="G593" s="953"/>
      <c r="H593" s="953"/>
      <c r="I593" s="953"/>
      <c r="J593" s="953"/>
      <c r="K593" s="953"/>
      <c r="L593" s="953"/>
      <c r="M593" s="954"/>
    </row>
    <row r="594" spans="1:13" ht="15" customHeight="1">
      <c r="A594" s="601"/>
      <c r="B594" s="558"/>
      <c r="C594" s="953"/>
      <c r="D594" s="953"/>
      <c r="E594" s="953"/>
      <c r="F594" s="953"/>
      <c r="G594" s="953"/>
      <c r="H594" s="953"/>
      <c r="I594" s="953"/>
      <c r="J594" s="953"/>
      <c r="K594" s="953"/>
      <c r="L594" s="953"/>
      <c r="M594" s="954"/>
    </row>
    <row r="595" spans="1:13" ht="15" customHeight="1">
      <c r="A595" s="601"/>
      <c r="B595" s="558"/>
      <c r="C595" s="953"/>
      <c r="D595" s="953"/>
      <c r="E595" s="953"/>
      <c r="F595" s="953"/>
      <c r="G595" s="953"/>
      <c r="H595" s="953"/>
      <c r="I595" s="953"/>
      <c r="J595" s="953"/>
      <c r="K595" s="953"/>
      <c r="L595" s="953"/>
      <c r="M595" s="954"/>
    </row>
    <row r="596" spans="1:13" ht="15" customHeight="1">
      <c r="A596" s="601"/>
      <c r="B596" s="558" t="s">
        <v>498</v>
      </c>
      <c r="C596" s="953" t="s">
        <v>834</v>
      </c>
      <c r="D596" s="953"/>
      <c r="E596" s="953"/>
      <c r="F596" s="953"/>
      <c r="G596" s="953"/>
      <c r="H596" s="953"/>
      <c r="I596" s="953"/>
      <c r="J596" s="953"/>
      <c r="K596" s="953"/>
      <c r="L596" s="953"/>
      <c r="M596" s="954"/>
    </row>
    <row r="597" spans="1:13" ht="15" customHeight="1">
      <c r="A597" s="601"/>
      <c r="B597" s="558"/>
      <c r="C597" s="953"/>
      <c r="D597" s="953"/>
      <c r="E597" s="953"/>
      <c r="F597" s="953"/>
      <c r="G597" s="953"/>
      <c r="H597" s="953"/>
      <c r="I597" s="953"/>
      <c r="J597" s="953"/>
      <c r="K597" s="953"/>
      <c r="L597" s="953"/>
      <c r="M597" s="954"/>
    </row>
    <row r="598" spans="1:13" ht="15" customHeight="1">
      <c r="A598" s="601"/>
      <c r="B598" s="558"/>
      <c r="C598" s="953"/>
      <c r="D598" s="953"/>
      <c r="E598" s="953"/>
      <c r="F598" s="953"/>
      <c r="G598" s="953"/>
      <c r="H598" s="953"/>
      <c r="I598" s="953"/>
      <c r="J598" s="953"/>
      <c r="K598" s="953"/>
      <c r="L598" s="953"/>
      <c r="M598" s="954"/>
    </row>
    <row r="599" spans="1:13" ht="15" customHeight="1">
      <c r="A599" s="601"/>
      <c r="B599" s="552"/>
      <c r="C599" s="607"/>
      <c r="D599" s="607"/>
      <c r="E599" s="552"/>
      <c r="F599" s="552"/>
      <c r="G599" s="552"/>
      <c r="H599" s="552"/>
      <c r="I599" s="552"/>
      <c r="J599" s="552"/>
      <c r="K599" s="552"/>
      <c r="L599" s="552"/>
      <c r="M599" s="583"/>
    </row>
    <row r="600" spans="1:13" ht="15" customHeight="1">
      <c r="A600" s="798" t="s">
        <v>835</v>
      </c>
      <c r="B600" s="552" t="s">
        <v>836</v>
      </c>
      <c r="C600" s="607"/>
      <c r="D600" s="607"/>
      <c r="E600" s="552"/>
      <c r="F600" s="552"/>
      <c r="G600" s="552"/>
      <c r="H600" s="552"/>
      <c r="I600" s="552"/>
      <c r="J600" s="552"/>
      <c r="K600" s="552"/>
      <c r="L600" s="552"/>
      <c r="M600" s="583"/>
    </row>
    <row r="601" spans="1:13" ht="15" customHeight="1">
      <c r="A601" s="601"/>
      <c r="B601" s="558" t="s">
        <v>437</v>
      </c>
      <c r="C601" s="953" t="s">
        <v>837</v>
      </c>
      <c r="D601" s="953"/>
      <c r="E601" s="953"/>
      <c r="F601" s="953"/>
      <c r="G601" s="953"/>
      <c r="H601" s="953"/>
      <c r="I601" s="953"/>
      <c r="J601" s="953"/>
      <c r="K601" s="953"/>
      <c r="L601" s="953"/>
      <c r="M601" s="954"/>
    </row>
    <row r="602" spans="1:13" ht="15" customHeight="1">
      <c r="A602" s="601"/>
      <c r="B602" s="558"/>
      <c r="C602" s="953"/>
      <c r="D602" s="953"/>
      <c r="E602" s="953"/>
      <c r="F602" s="953"/>
      <c r="G602" s="953"/>
      <c r="H602" s="953"/>
      <c r="I602" s="953"/>
      <c r="J602" s="953"/>
      <c r="K602" s="953"/>
      <c r="L602" s="953"/>
      <c r="M602" s="954"/>
    </row>
    <row r="603" spans="1:13" ht="15" customHeight="1">
      <c r="A603" s="601"/>
      <c r="B603" s="558" t="s">
        <v>439</v>
      </c>
      <c r="C603" s="953" t="s">
        <v>838</v>
      </c>
      <c r="D603" s="953"/>
      <c r="E603" s="953"/>
      <c r="F603" s="953"/>
      <c r="G603" s="953"/>
      <c r="H603" s="953"/>
      <c r="I603" s="953"/>
      <c r="J603" s="953"/>
      <c r="K603" s="953"/>
      <c r="L603" s="953"/>
      <c r="M603" s="954"/>
    </row>
    <row r="604" spans="1:13" ht="15" customHeight="1">
      <c r="A604" s="601"/>
      <c r="B604" s="558"/>
      <c r="C604" s="953"/>
      <c r="D604" s="953"/>
      <c r="E604" s="953"/>
      <c r="F604" s="953"/>
      <c r="G604" s="953"/>
      <c r="H604" s="953"/>
      <c r="I604" s="953"/>
      <c r="J604" s="953"/>
      <c r="K604" s="953"/>
      <c r="L604" s="953"/>
      <c r="M604" s="954"/>
    </row>
    <row r="605" spans="1:13" ht="15" customHeight="1">
      <c r="A605" s="601"/>
      <c r="B605" s="558"/>
      <c r="C605" s="953"/>
      <c r="D605" s="953"/>
      <c r="E605" s="953"/>
      <c r="F605" s="953"/>
      <c r="G605" s="953"/>
      <c r="H605" s="953"/>
      <c r="I605" s="953"/>
      <c r="J605" s="953"/>
      <c r="K605" s="953"/>
      <c r="L605" s="953"/>
      <c r="M605" s="954"/>
    </row>
    <row r="606" spans="1:13" ht="15" customHeight="1">
      <c r="A606" s="601"/>
      <c r="B606" s="558" t="s">
        <v>431</v>
      </c>
      <c r="C606" s="953" t="s">
        <v>839</v>
      </c>
      <c r="D606" s="953"/>
      <c r="E606" s="953"/>
      <c r="F606" s="953"/>
      <c r="G606" s="953"/>
      <c r="H606" s="953"/>
      <c r="I606" s="953"/>
      <c r="J606" s="953"/>
      <c r="K606" s="953"/>
      <c r="L606" s="953"/>
      <c r="M606" s="954"/>
    </row>
    <row r="607" spans="1:13" ht="15" customHeight="1">
      <c r="A607" s="601"/>
      <c r="B607" s="558"/>
      <c r="C607" s="953"/>
      <c r="D607" s="953"/>
      <c r="E607" s="953"/>
      <c r="F607" s="953"/>
      <c r="G607" s="953"/>
      <c r="H607" s="953"/>
      <c r="I607" s="953"/>
      <c r="J607" s="953"/>
      <c r="K607" s="953"/>
      <c r="L607" s="953"/>
      <c r="M607" s="954"/>
    </row>
    <row r="608" spans="1:13" ht="15" customHeight="1">
      <c r="A608" s="601"/>
      <c r="B608" s="558" t="s">
        <v>433</v>
      </c>
      <c r="C608" s="953" t="s">
        <v>840</v>
      </c>
      <c r="D608" s="953"/>
      <c r="E608" s="953"/>
      <c r="F608" s="953"/>
      <c r="G608" s="953"/>
      <c r="H608" s="953"/>
      <c r="I608" s="953"/>
      <c r="J608" s="953"/>
      <c r="K608" s="953"/>
      <c r="L608" s="953"/>
      <c r="M608" s="954"/>
    </row>
    <row r="609" spans="1:13" ht="15" customHeight="1">
      <c r="A609" s="601"/>
      <c r="B609" s="558"/>
      <c r="C609" s="953"/>
      <c r="D609" s="953"/>
      <c r="E609" s="953"/>
      <c r="F609" s="953"/>
      <c r="G609" s="953"/>
      <c r="H609" s="953"/>
      <c r="I609" s="953"/>
      <c r="J609" s="953"/>
      <c r="K609" s="953"/>
      <c r="L609" s="953"/>
      <c r="M609" s="954"/>
    </row>
    <row r="610" spans="1:13" ht="15" customHeight="1">
      <c r="A610" s="601"/>
      <c r="B610" s="558" t="s">
        <v>496</v>
      </c>
      <c r="C610" s="953" t="s">
        <v>841</v>
      </c>
      <c r="D610" s="953"/>
      <c r="E610" s="953"/>
      <c r="F610" s="953"/>
      <c r="G610" s="953"/>
      <c r="H610" s="953"/>
      <c r="I610" s="953"/>
      <c r="J610" s="953"/>
      <c r="K610" s="953"/>
      <c r="L610" s="953"/>
      <c r="M610" s="954"/>
    </row>
    <row r="611" spans="1:13" ht="15" customHeight="1">
      <c r="A611" s="601"/>
      <c r="B611" s="558"/>
      <c r="C611" s="953"/>
      <c r="D611" s="953"/>
      <c r="E611" s="953"/>
      <c r="F611" s="953"/>
      <c r="G611" s="953"/>
      <c r="H611" s="953"/>
      <c r="I611" s="953"/>
      <c r="J611" s="953"/>
      <c r="K611" s="953"/>
      <c r="L611" s="953"/>
      <c r="M611" s="954"/>
    </row>
    <row r="612" spans="1:13" ht="15" customHeight="1">
      <c r="A612" s="601"/>
      <c r="B612" s="558"/>
      <c r="C612" s="953"/>
      <c r="D612" s="953"/>
      <c r="E612" s="953"/>
      <c r="F612" s="953"/>
      <c r="G612" s="953"/>
      <c r="H612" s="953"/>
      <c r="I612" s="953"/>
      <c r="J612" s="953"/>
      <c r="K612" s="953"/>
      <c r="L612" s="953"/>
      <c r="M612" s="954"/>
    </row>
    <row r="613" spans="1:13" ht="15" customHeight="1">
      <c r="A613" s="601"/>
      <c r="B613" s="558"/>
      <c r="C613" s="953"/>
      <c r="D613" s="953"/>
      <c r="E613" s="953"/>
      <c r="F613" s="953"/>
      <c r="G613" s="953"/>
      <c r="H613" s="953"/>
      <c r="I613" s="953"/>
      <c r="J613" s="953"/>
      <c r="K613" s="953"/>
      <c r="L613" s="953"/>
      <c r="M613" s="954"/>
    </row>
    <row r="614" spans="1:13" ht="15" customHeight="1">
      <c r="A614" s="601"/>
      <c r="B614" s="558" t="s">
        <v>498</v>
      </c>
      <c r="C614" s="953" t="s">
        <v>842</v>
      </c>
      <c r="D614" s="953"/>
      <c r="E614" s="953"/>
      <c r="F614" s="953"/>
      <c r="G614" s="953"/>
      <c r="H614" s="953"/>
      <c r="I614" s="953"/>
      <c r="J614" s="953"/>
      <c r="K614" s="953"/>
      <c r="L614" s="953"/>
      <c r="M614" s="954"/>
    </row>
    <row r="615" spans="1:13" ht="15" customHeight="1">
      <c r="A615" s="601"/>
      <c r="B615" s="558" t="s">
        <v>598</v>
      </c>
      <c r="C615" s="953" t="s">
        <v>843</v>
      </c>
      <c r="D615" s="953"/>
      <c r="E615" s="953"/>
      <c r="F615" s="953"/>
      <c r="G615" s="953"/>
      <c r="H615" s="953"/>
      <c r="I615" s="953"/>
      <c r="J615" s="953"/>
      <c r="K615" s="953"/>
      <c r="L615" s="953"/>
      <c r="M615" s="954"/>
    </row>
    <row r="616" spans="1:13" ht="15" customHeight="1">
      <c r="A616" s="601"/>
      <c r="B616" s="558"/>
      <c r="C616" s="953"/>
      <c r="D616" s="953"/>
      <c r="E616" s="953"/>
      <c r="F616" s="953"/>
      <c r="G616" s="953"/>
      <c r="H616" s="953"/>
      <c r="I616" s="953"/>
      <c r="J616" s="953"/>
      <c r="K616" s="953"/>
      <c r="L616" s="953"/>
      <c r="M616" s="954"/>
    </row>
    <row r="617" spans="1:13" ht="15" customHeight="1">
      <c r="A617" s="608"/>
      <c r="B617" s="555"/>
      <c r="C617" s="610"/>
      <c r="D617" s="610"/>
      <c r="E617" s="555"/>
      <c r="F617" s="555"/>
      <c r="G617" s="555"/>
      <c r="H617" s="555"/>
      <c r="I617" s="555"/>
      <c r="J617" s="555"/>
      <c r="K617" s="555"/>
      <c r="L617" s="555"/>
      <c r="M617" s="585"/>
    </row>
    <row r="618" spans="1:13" ht="15" customHeight="1">
      <c r="A618" s="800" t="s">
        <v>835</v>
      </c>
      <c r="B618" s="550" t="s">
        <v>578</v>
      </c>
      <c r="C618" s="609"/>
      <c r="D618" s="609"/>
      <c r="E618" s="550"/>
      <c r="F618" s="550"/>
      <c r="G618" s="550"/>
      <c r="H618" s="550"/>
      <c r="I618" s="550"/>
      <c r="J618" s="550"/>
      <c r="K618" s="550"/>
      <c r="L618" s="550"/>
      <c r="M618" s="581"/>
    </row>
    <row r="619" spans="1:13" ht="15" customHeight="1">
      <c r="A619" s="601"/>
      <c r="B619" s="953" t="s">
        <v>844</v>
      </c>
      <c r="C619" s="953"/>
      <c r="D619" s="953"/>
      <c r="E619" s="953"/>
      <c r="F619" s="953"/>
      <c r="G619" s="953"/>
      <c r="H619" s="953"/>
      <c r="I619" s="953"/>
      <c r="J619" s="953"/>
      <c r="K619" s="953"/>
      <c r="L619" s="953"/>
      <c r="M619" s="954"/>
    </row>
    <row r="620" spans="1:13" ht="15" customHeight="1">
      <c r="A620" s="601"/>
      <c r="B620" s="953"/>
      <c r="C620" s="953"/>
      <c r="D620" s="953"/>
      <c r="E620" s="953"/>
      <c r="F620" s="953"/>
      <c r="G620" s="953"/>
      <c r="H620" s="953"/>
      <c r="I620" s="953"/>
      <c r="J620" s="953"/>
      <c r="K620" s="953"/>
      <c r="L620" s="953"/>
      <c r="M620" s="954"/>
    </row>
    <row r="621" spans="1:13" ht="15" customHeight="1">
      <c r="A621" s="601"/>
      <c r="B621" s="953"/>
      <c r="C621" s="953"/>
      <c r="D621" s="953"/>
      <c r="E621" s="953"/>
      <c r="F621" s="953"/>
      <c r="G621" s="953"/>
      <c r="H621" s="953"/>
      <c r="I621" s="953"/>
      <c r="J621" s="953"/>
      <c r="K621" s="953"/>
      <c r="L621" s="953"/>
      <c r="M621" s="954"/>
    </row>
    <row r="622" spans="1:13" ht="15" customHeight="1">
      <c r="A622" s="601"/>
      <c r="B622" s="953"/>
      <c r="C622" s="953"/>
      <c r="D622" s="953"/>
      <c r="E622" s="953"/>
      <c r="F622" s="953"/>
      <c r="G622" s="953"/>
      <c r="H622" s="953"/>
      <c r="I622" s="953"/>
      <c r="J622" s="953"/>
      <c r="K622" s="953"/>
      <c r="L622" s="953"/>
      <c r="M622" s="954"/>
    </row>
    <row r="623" spans="1:13" ht="15" customHeight="1">
      <c r="A623" s="611"/>
      <c r="B623" s="610"/>
      <c r="C623" s="610"/>
      <c r="D623" s="610"/>
      <c r="E623" s="555"/>
      <c r="F623" s="555"/>
      <c r="G623" s="555"/>
      <c r="H623" s="555"/>
      <c r="I623" s="555"/>
      <c r="J623" s="555"/>
      <c r="K623" s="555"/>
      <c r="L623" s="555"/>
      <c r="M623" s="585"/>
    </row>
    <row r="624" spans="1:13">
      <c r="E624" s="552"/>
      <c r="F624" s="552"/>
      <c r="G624" s="552"/>
      <c r="H624" s="552"/>
      <c r="I624" s="552"/>
      <c r="J624" s="552"/>
      <c r="K624" s="552"/>
      <c r="L624" s="552"/>
      <c r="M624" s="552"/>
    </row>
    <row r="625" spans="5:13">
      <c r="E625" s="552"/>
      <c r="F625" s="552"/>
      <c r="G625" s="552"/>
      <c r="H625" s="552"/>
      <c r="I625" s="552"/>
      <c r="J625" s="552"/>
      <c r="K625" s="552"/>
      <c r="L625" s="552"/>
      <c r="M625" s="552"/>
    </row>
    <row r="626" spans="5:13">
      <c r="E626" s="552"/>
      <c r="F626" s="552"/>
      <c r="G626" s="552"/>
      <c r="H626" s="552"/>
      <c r="I626" s="552"/>
      <c r="J626" s="552"/>
      <c r="K626" s="552"/>
      <c r="L626" s="552"/>
      <c r="M626" s="552"/>
    </row>
    <row r="627" spans="5:13">
      <c r="E627" s="552"/>
      <c r="F627" s="552"/>
      <c r="G627" s="552"/>
      <c r="H627" s="552"/>
      <c r="I627" s="552"/>
      <c r="J627" s="552"/>
      <c r="K627" s="552"/>
      <c r="L627" s="552"/>
      <c r="M627" s="552"/>
    </row>
    <row r="628" spans="5:13">
      <c r="E628" s="552"/>
      <c r="F628" s="552"/>
      <c r="G628" s="552"/>
      <c r="H628" s="552"/>
      <c r="I628" s="552"/>
      <c r="J628" s="552"/>
      <c r="K628" s="552"/>
      <c r="L628" s="552"/>
      <c r="M628" s="552"/>
    </row>
    <row r="629" spans="5:13">
      <c r="E629" s="552"/>
      <c r="F629" s="552"/>
      <c r="G629" s="552"/>
      <c r="H629" s="552"/>
      <c r="I629" s="552"/>
      <c r="J629" s="552"/>
      <c r="K629" s="552"/>
      <c r="L629" s="552"/>
      <c r="M629" s="552"/>
    </row>
    <row r="630" spans="5:13">
      <c r="E630" s="552"/>
      <c r="F630" s="552"/>
      <c r="G630" s="552"/>
      <c r="H630" s="552"/>
      <c r="I630" s="552"/>
      <c r="J630" s="552"/>
      <c r="K630" s="552"/>
      <c r="L630" s="552"/>
      <c r="M630" s="552"/>
    </row>
    <row r="631" spans="5:13">
      <c r="E631" s="552"/>
      <c r="F631" s="552"/>
      <c r="G631" s="552"/>
      <c r="H631" s="552"/>
      <c r="I631" s="552"/>
      <c r="J631" s="552"/>
      <c r="K631" s="552"/>
      <c r="L631" s="552"/>
      <c r="M631" s="552"/>
    </row>
    <row r="632" spans="5:13">
      <c r="E632" s="552"/>
      <c r="F632" s="552"/>
      <c r="G632" s="552"/>
      <c r="H632" s="552"/>
      <c r="I632" s="552"/>
      <c r="J632" s="552"/>
      <c r="K632" s="552"/>
      <c r="L632" s="552"/>
      <c r="M632" s="552"/>
    </row>
    <row r="633" spans="5:13">
      <c r="E633" s="552"/>
      <c r="F633" s="552"/>
      <c r="G633" s="552"/>
      <c r="H633" s="552"/>
      <c r="I633" s="552"/>
      <c r="J633" s="552"/>
      <c r="K633" s="552"/>
      <c r="L633" s="552"/>
      <c r="M633" s="552"/>
    </row>
    <row r="634" spans="5:13">
      <c r="E634" s="552"/>
      <c r="F634" s="552"/>
      <c r="G634" s="552"/>
      <c r="H634" s="552"/>
      <c r="I634" s="552"/>
      <c r="J634" s="552"/>
      <c r="K634" s="552"/>
      <c r="L634" s="552"/>
      <c r="M634" s="552"/>
    </row>
    <row r="635" spans="5:13">
      <c r="E635" s="552"/>
      <c r="F635" s="552"/>
      <c r="G635" s="552"/>
      <c r="H635" s="552"/>
      <c r="I635" s="552"/>
      <c r="J635" s="552"/>
      <c r="K635" s="552"/>
      <c r="L635" s="552"/>
      <c r="M635" s="552"/>
    </row>
    <row r="636" spans="5:13">
      <c r="E636" s="552"/>
      <c r="F636" s="552"/>
      <c r="G636" s="552"/>
      <c r="H636" s="552"/>
      <c r="I636" s="552"/>
      <c r="J636" s="552"/>
      <c r="K636" s="552"/>
      <c r="L636" s="552"/>
      <c r="M636" s="552"/>
    </row>
    <row r="637" spans="5:13">
      <c r="E637" s="552"/>
      <c r="F637" s="552"/>
      <c r="G637" s="552"/>
      <c r="H637" s="552"/>
      <c r="I637" s="552"/>
      <c r="J637" s="552"/>
      <c r="K637" s="552"/>
      <c r="L637" s="552"/>
      <c r="M637" s="552"/>
    </row>
    <row r="638" spans="5:13">
      <c r="E638" s="552"/>
      <c r="F638" s="552"/>
      <c r="G638" s="552"/>
      <c r="H638" s="552"/>
      <c r="I638" s="552"/>
      <c r="J638" s="552"/>
      <c r="K638" s="552"/>
      <c r="L638" s="552"/>
      <c r="M638" s="552"/>
    </row>
    <row r="639" spans="5:13">
      <c r="E639" s="552"/>
      <c r="F639" s="552"/>
      <c r="G639" s="552"/>
      <c r="H639" s="552"/>
      <c r="I639" s="552"/>
      <c r="J639" s="552"/>
      <c r="K639" s="552"/>
      <c r="L639" s="552"/>
      <c r="M639" s="552"/>
    </row>
    <row r="640" spans="5:13">
      <c r="E640" s="552"/>
      <c r="F640" s="552"/>
      <c r="G640" s="552"/>
      <c r="H640" s="552"/>
      <c r="I640" s="552"/>
      <c r="J640" s="552"/>
      <c r="K640" s="552"/>
      <c r="L640" s="552"/>
      <c r="M640" s="552"/>
    </row>
    <row r="641" spans="5:13">
      <c r="E641" s="552"/>
      <c r="F641" s="552"/>
      <c r="G641" s="552"/>
      <c r="H641" s="552"/>
      <c r="I641" s="552"/>
      <c r="J641" s="552"/>
      <c r="K641" s="552"/>
      <c r="L641" s="552"/>
      <c r="M641" s="552"/>
    </row>
    <row r="642" spans="5:13">
      <c r="E642" s="552"/>
      <c r="F642" s="552"/>
      <c r="G642" s="552"/>
      <c r="H642" s="552"/>
      <c r="I642" s="552"/>
      <c r="J642" s="552"/>
      <c r="K642" s="552"/>
      <c r="L642" s="552"/>
      <c r="M642" s="552"/>
    </row>
    <row r="643" spans="5:13">
      <c r="E643" s="552"/>
      <c r="F643" s="552"/>
      <c r="G643" s="552"/>
      <c r="H643" s="552"/>
      <c r="I643" s="552"/>
      <c r="J643" s="552"/>
      <c r="K643" s="552"/>
      <c r="L643" s="552"/>
      <c r="M643" s="552"/>
    </row>
    <row r="644" spans="5:13">
      <c r="E644" s="552"/>
      <c r="F644" s="552"/>
      <c r="G644" s="552"/>
      <c r="H644" s="552"/>
      <c r="I644" s="552"/>
      <c r="J644" s="552"/>
      <c r="K644" s="552"/>
      <c r="L644" s="552"/>
      <c r="M644" s="552"/>
    </row>
    <row r="645" spans="5:13">
      <c r="E645" s="552"/>
      <c r="F645" s="552"/>
      <c r="G645" s="552"/>
      <c r="H645" s="552"/>
      <c r="I645" s="552"/>
      <c r="J645" s="552"/>
      <c r="K645" s="552"/>
      <c r="L645" s="552"/>
      <c r="M645" s="552"/>
    </row>
    <row r="646" spans="5:13">
      <c r="E646" s="552"/>
      <c r="F646" s="552"/>
      <c r="G646" s="552"/>
      <c r="H646" s="552"/>
      <c r="I646" s="552"/>
      <c r="J646" s="552"/>
      <c r="K646" s="552"/>
      <c r="L646" s="552"/>
      <c r="M646" s="552"/>
    </row>
    <row r="647" spans="5:13">
      <c r="E647" s="552"/>
      <c r="F647" s="552"/>
      <c r="G647" s="552"/>
      <c r="H647" s="552"/>
      <c r="I647" s="552"/>
      <c r="J647" s="552"/>
      <c r="K647" s="552"/>
      <c r="L647" s="552"/>
      <c r="M647" s="552"/>
    </row>
    <row r="648" spans="5:13">
      <c r="E648" s="552"/>
      <c r="F648" s="552"/>
      <c r="G648" s="552"/>
      <c r="H648" s="552"/>
      <c r="I648" s="552"/>
      <c r="J648" s="552"/>
      <c r="K648" s="552"/>
      <c r="L648" s="552"/>
      <c r="M648" s="552"/>
    </row>
    <row r="649" spans="5:13">
      <c r="E649" s="552"/>
      <c r="F649" s="552"/>
      <c r="G649" s="552"/>
      <c r="H649" s="552"/>
      <c r="I649" s="552"/>
      <c r="J649" s="552"/>
      <c r="K649" s="552"/>
      <c r="L649" s="552"/>
      <c r="M649" s="552"/>
    </row>
    <row r="650" spans="5:13">
      <c r="E650" s="552"/>
      <c r="F650" s="552"/>
      <c r="G650" s="552"/>
      <c r="H650" s="552"/>
      <c r="I650" s="552"/>
      <c r="J650" s="552"/>
      <c r="K650" s="552"/>
      <c r="L650" s="552"/>
      <c r="M650" s="552"/>
    </row>
    <row r="651" spans="5:13">
      <c r="E651" s="552"/>
      <c r="F651" s="552"/>
      <c r="G651" s="552"/>
      <c r="H651" s="552"/>
      <c r="I651" s="552"/>
      <c r="J651" s="552"/>
      <c r="K651" s="552"/>
      <c r="L651" s="552"/>
      <c r="M651" s="552"/>
    </row>
    <row r="652" spans="5:13">
      <c r="E652" s="552"/>
      <c r="F652" s="552"/>
      <c r="G652" s="552"/>
      <c r="H652" s="552"/>
      <c r="I652" s="552"/>
      <c r="J652" s="552"/>
      <c r="K652" s="552"/>
      <c r="L652" s="552"/>
      <c r="M652" s="552"/>
    </row>
    <row r="653" spans="5:13">
      <c r="E653" s="552"/>
      <c r="F653" s="552"/>
      <c r="G653" s="552"/>
      <c r="H653" s="552"/>
      <c r="I653" s="552"/>
      <c r="J653" s="552"/>
      <c r="K653" s="552"/>
      <c r="L653" s="552"/>
      <c r="M653" s="552"/>
    </row>
    <row r="654" spans="5:13">
      <c r="E654" s="552"/>
      <c r="F654" s="552"/>
      <c r="G654" s="552"/>
      <c r="H654" s="552"/>
      <c r="I654" s="552"/>
      <c r="J654" s="552"/>
      <c r="K654" s="552"/>
      <c r="L654" s="552"/>
      <c r="M654" s="552"/>
    </row>
    <row r="655" spans="5:13">
      <c r="E655" s="552"/>
      <c r="F655" s="552"/>
      <c r="G655" s="552"/>
      <c r="H655" s="552"/>
      <c r="I655" s="552"/>
      <c r="J655" s="552"/>
      <c r="K655" s="552"/>
      <c r="L655" s="552"/>
      <c r="M655" s="552"/>
    </row>
    <row r="656" spans="5:13">
      <c r="E656" s="552"/>
      <c r="F656" s="552"/>
      <c r="G656" s="552"/>
      <c r="H656" s="552"/>
      <c r="I656" s="552"/>
      <c r="J656" s="552"/>
      <c r="K656" s="552"/>
      <c r="L656" s="552"/>
      <c r="M656" s="552"/>
    </row>
    <row r="657" spans="5:13">
      <c r="E657" s="552"/>
      <c r="F657" s="552"/>
      <c r="G657" s="552"/>
      <c r="H657" s="552"/>
      <c r="I657" s="552"/>
      <c r="J657" s="552"/>
      <c r="K657" s="552"/>
      <c r="L657" s="552"/>
      <c r="M657" s="552"/>
    </row>
    <row r="658" spans="5:13">
      <c r="E658" s="552"/>
      <c r="F658" s="552"/>
      <c r="G658" s="552"/>
      <c r="H658" s="552"/>
      <c r="I658" s="552"/>
      <c r="J658" s="552"/>
      <c r="K658" s="552"/>
      <c r="L658" s="552"/>
      <c r="M658" s="552"/>
    </row>
  </sheetData>
  <mergeCells count="244">
    <mergeCell ref="C325:M328"/>
    <mergeCell ref="C329:M330"/>
    <mergeCell ref="C331:M334"/>
    <mergeCell ref="C337:M340"/>
    <mergeCell ref="C341:M344"/>
    <mergeCell ref="A56:M58"/>
    <mergeCell ref="B66:M67"/>
    <mergeCell ref="A70:M72"/>
    <mergeCell ref="A75:M76"/>
    <mergeCell ref="A115:M116"/>
    <mergeCell ref="A81:M82"/>
    <mergeCell ref="A89:M90"/>
    <mergeCell ref="A91:M92"/>
    <mergeCell ref="A93:M94"/>
    <mergeCell ref="A86:M87"/>
    <mergeCell ref="C260:M264"/>
    <mergeCell ref="C265:M266"/>
    <mergeCell ref="D290:M291"/>
    <mergeCell ref="C294:M296"/>
    <mergeCell ref="C297:M298"/>
    <mergeCell ref="C301:M302"/>
    <mergeCell ref="C303:M304"/>
    <mergeCell ref="C311:M312"/>
    <mergeCell ref="C315:M321"/>
    <mergeCell ref="C206:M207"/>
    <mergeCell ref="C208:M209"/>
    <mergeCell ref="C213:M215"/>
    <mergeCell ref="C216:M217"/>
    <mergeCell ref="B220:M222"/>
    <mergeCell ref="C225:M227"/>
    <mergeCell ref="C228:M229"/>
    <mergeCell ref="C232:M234"/>
    <mergeCell ref="C235:M236"/>
    <mergeCell ref="C210:M210"/>
    <mergeCell ref="C182:M183"/>
    <mergeCell ref="C185:M186"/>
    <mergeCell ref="C187:M190"/>
    <mergeCell ref="C191:M192"/>
    <mergeCell ref="C193:M196"/>
    <mergeCell ref="B133:M134"/>
    <mergeCell ref="C197:M198"/>
    <mergeCell ref="C202:M203"/>
    <mergeCell ref="C204:M205"/>
    <mergeCell ref="C345:M346"/>
    <mergeCell ref="C347:M354"/>
    <mergeCell ref="C355:M357"/>
    <mergeCell ref="C358:M359"/>
    <mergeCell ref="C362:M364"/>
    <mergeCell ref="C365:M368"/>
    <mergeCell ref="C369:M370"/>
    <mergeCell ref="C371:M372"/>
    <mergeCell ref="C373:M374"/>
    <mergeCell ref="D499:M500"/>
    <mergeCell ref="C505:M507"/>
    <mergeCell ref="C520:M521"/>
    <mergeCell ref="C523:M525"/>
    <mergeCell ref="C526:M529"/>
    <mergeCell ref="C530:M531"/>
    <mergeCell ref="C508:M510"/>
    <mergeCell ref="C511:M513"/>
    <mergeCell ref="C514:M516"/>
    <mergeCell ref="D503:M504"/>
    <mergeCell ref="D501:M501"/>
    <mergeCell ref="D502:M502"/>
    <mergeCell ref="C519:M519"/>
    <mergeCell ref="C522:M522"/>
    <mergeCell ref="C615:M616"/>
    <mergeCell ref="B619:M622"/>
    <mergeCell ref="C583:M584"/>
    <mergeCell ref="C590:M592"/>
    <mergeCell ref="C593:M595"/>
    <mergeCell ref="C596:M598"/>
    <mergeCell ref="C562:M564"/>
    <mergeCell ref="C566:M568"/>
    <mergeCell ref="D533:M534"/>
    <mergeCell ref="D540:M542"/>
    <mergeCell ref="D543:M544"/>
    <mergeCell ref="D549:M551"/>
    <mergeCell ref="D545:M547"/>
    <mergeCell ref="D552:M553"/>
    <mergeCell ref="D538:M539"/>
    <mergeCell ref="D577:M577"/>
    <mergeCell ref="D578:M578"/>
    <mergeCell ref="C614:M614"/>
    <mergeCell ref="C571:M572"/>
    <mergeCell ref="D559:M560"/>
    <mergeCell ref="D574:M575"/>
    <mergeCell ref="C585:M589"/>
    <mergeCell ref="C601:M602"/>
    <mergeCell ref="C603:M605"/>
    <mergeCell ref="C606:M607"/>
    <mergeCell ref="C608:M609"/>
    <mergeCell ref="C610:M613"/>
    <mergeCell ref="C554:M554"/>
    <mergeCell ref="D555:M555"/>
    <mergeCell ref="D556:M556"/>
    <mergeCell ref="D557:M557"/>
    <mergeCell ref="C558:M558"/>
    <mergeCell ref="D561:M561"/>
    <mergeCell ref="C565:M565"/>
    <mergeCell ref="D573:M573"/>
    <mergeCell ref="D576:M576"/>
    <mergeCell ref="D532:M532"/>
    <mergeCell ref="D535:M535"/>
    <mergeCell ref="D536:M536"/>
    <mergeCell ref="D537:M537"/>
    <mergeCell ref="D548:M548"/>
    <mergeCell ref="D456:M456"/>
    <mergeCell ref="D457:M457"/>
    <mergeCell ref="D460:M460"/>
    <mergeCell ref="D461:M461"/>
    <mergeCell ref="D462:M462"/>
    <mergeCell ref="D487:M487"/>
    <mergeCell ref="C496:M496"/>
    <mergeCell ref="D497:M497"/>
    <mergeCell ref="D498:M498"/>
    <mergeCell ref="C483:M484"/>
    <mergeCell ref="D488:M489"/>
    <mergeCell ref="D485:M486"/>
    <mergeCell ref="C476:M480"/>
    <mergeCell ref="C466:M471"/>
    <mergeCell ref="C490:M493"/>
    <mergeCell ref="C458:M459"/>
    <mergeCell ref="C463:M465"/>
    <mergeCell ref="C472:M473"/>
    <mergeCell ref="C474:M475"/>
    <mergeCell ref="D429:M429"/>
    <mergeCell ref="D430:M430"/>
    <mergeCell ref="D434:M434"/>
    <mergeCell ref="D435:M435"/>
    <mergeCell ref="D436:M436"/>
    <mergeCell ref="C440:M440"/>
    <mergeCell ref="C451:M451"/>
    <mergeCell ref="C454:M454"/>
    <mergeCell ref="D455:M455"/>
    <mergeCell ref="C446:M447"/>
    <mergeCell ref="C448:M450"/>
    <mergeCell ref="C437:M439"/>
    <mergeCell ref="C441:M443"/>
    <mergeCell ref="C431:M433"/>
    <mergeCell ref="D324:M324"/>
    <mergeCell ref="C399:M399"/>
    <mergeCell ref="C414:M414"/>
    <mergeCell ref="D417:M417"/>
    <mergeCell ref="D418:M418"/>
    <mergeCell ref="D419:M419"/>
    <mergeCell ref="D420:M420"/>
    <mergeCell ref="D427:M427"/>
    <mergeCell ref="D428:M428"/>
    <mergeCell ref="C425:M426"/>
    <mergeCell ref="C402:M404"/>
    <mergeCell ref="C405:M406"/>
    <mergeCell ref="C407:M409"/>
    <mergeCell ref="C410:M411"/>
    <mergeCell ref="C415:M416"/>
    <mergeCell ref="C421:M422"/>
    <mergeCell ref="C377:M379"/>
    <mergeCell ref="C380:M381"/>
    <mergeCell ref="C382:M383"/>
    <mergeCell ref="C384:M387"/>
    <mergeCell ref="C388:M390"/>
    <mergeCell ref="C391:M394"/>
    <mergeCell ref="C397:M398"/>
    <mergeCell ref="C400:M401"/>
    <mergeCell ref="D299:M299"/>
    <mergeCell ref="D300:M300"/>
    <mergeCell ref="D305:M305"/>
    <mergeCell ref="D306:M306"/>
    <mergeCell ref="D322:M322"/>
    <mergeCell ref="D323:M323"/>
    <mergeCell ref="C269:M270"/>
    <mergeCell ref="D279:M282"/>
    <mergeCell ref="D283:M286"/>
    <mergeCell ref="D287:M289"/>
    <mergeCell ref="C309:M310"/>
    <mergeCell ref="C239:M241"/>
    <mergeCell ref="C242:M243"/>
    <mergeCell ref="C244:M246"/>
    <mergeCell ref="C247:M248"/>
    <mergeCell ref="C237:M238"/>
    <mergeCell ref="C250:M253"/>
    <mergeCell ref="C272:M273"/>
    <mergeCell ref="D274:M275"/>
    <mergeCell ref="D276:M278"/>
    <mergeCell ref="C256:M259"/>
    <mergeCell ref="C249:M249"/>
    <mergeCell ref="C271:M271"/>
    <mergeCell ref="A124:H124"/>
    <mergeCell ref="I124:M124"/>
    <mergeCell ref="A125:H125"/>
    <mergeCell ref="I125:M125"/>
    <mergeCell ref="A128:M128"/>
    <mergeCell ref="A129:M129"/>
    <mergeCell ref="C158:M158"/>
    <mergeCell ref="C184:M184"/>
    <mergeCell ref="C201:M201"/>
    <mergeCell ref="B139:M140"/>
    <mergeCell ref="C141:M143"/>
    <mergeCell ref="C145:M146"/>
    <mergeCell ref="C147:M149"/>
    <mergeCell ref="C150:M151"/>
    <mergeCell ref="C152:M153"/>
    <mergeCell ref="C156:M157"/>
    <mergeCell ref="C163:M164"/>
    <mergeCell ref="C165:M167"/>
    <mergeCell ref="C168:M169"/>
    <mergeCell ref="C161:M162"/>
    <mergeCell ref="C170:M171"/>
    <mergeCell ref="C172:M174"/>
    <mergeCell ref="C175:M177"/>
    <mergeCell ref="C180:M181"/>
    <mergeCell ref="A119:H119"/>
    <mergeCell ref="I119:M119"/>
    <mergeCell ref="A120:H120"/>
    <mergeCell ref="I120:M120"/>
    <mergeCell ref="A121:H121"/>
    <mergeCell ref="I121:M121"/>
    <mergeCell ref="A122:H122"/>
    <mergeCell ref="I122:M122"/>
    <mergeCell ref="A123:H123"/>
    <mergeCell ref="I123:M123"/>
    <mergeCell ref="E3:M3"/>
    <mergeCell ref="E4:M4"/>
    <mergeCell ref="E5:M5"/>
    <mergeCell ref="J11:M11"/>
    <mergeCell ref="J26:M26"/>
    <mergeCell ref="J41:M41"/>
    <mergeCell ref="J44:M44"/>
    <mergeCell ref="A118:H118"/>
    <mergeCell ref="I118:M118"/>
    <mergeCell ref="A41:F44"/>
    <mergeCell ref="A46:M47"/>
    <mergeCell ref="A49:M50"/>
    <mergeCell ref="A24:F33"/>
    <mergeCell ref="J7:M8"/>
    <mergeCell ref="A12:F23"/>
    <mergeCell ref="A52:M53"/>
    <mergeCell ref="G31:M32"/>
    <mergeCell ref="A39:F40"/>
    <mergeCell ref="A7:F11"/>
    <mergeCell ref="J15:M16"/>
    <mergeCell ref="G18:M23"/>
    <mergeCell ref="A34:F38"/>
    <mergeCell ref="G36:M37"/>
  </mergeCells>
  <dataValidations count="1">
    <dataValidation type="list" allowBlank="1" showInputMessage="1" showErrorMessage="1" sqref="G1" xr:uid="{00000000-0002-0000-0700-000000000000}">
      <formula1>"Kosong, Isi"</formula1>
    </dataValidation>
  </dataValidations>
  <hyperlinks>
    <hyperlink ref="O8" location="Input!A72" display="balik ke input" xr:uid="{00000000-0004-0000-0700-000000000000}"/>
  </hyperlinks>
  <pageMargins left="0.78740157480314998" right="0.59055118110236204" top="0.39370078740157499" bottom="0.39370078740157499" header="0" footer="0"/>
  <pageSetup paperSize="9" orientation="portrait" r:id="rId1"/>
  <rowBreaks count="12" manualBreakCount="12">
    <brk id="54" max="12" man="1"/>
    <brk id="126" max="12" man="1"/>
    <brk id="177" max="12" man="1"/>
    <brk id="227" max="12" man="1"/>
    <brk id="278" max="12" man="1"/>
    <brk id="328" max="12" man="1"/>
    <brk id="375" max="12" man="1"/>
    <brk id="423" max="12" man="1"/>
    <brk id="473" max="12" man="1"/>
    <brk id="522" max="12" man="1"/>
    <brk id="569" max="12" man="1"/>
    <brk id="617" max="12" man="1"/>
  </rowBreaks>
  <ignoredErrors>
    <ignoredError sqref="A139 A136 A132 A155 A160 A179 A200 A212 A219 A231 A268 A255 A293 A308 A314 A336 A361 A376 A396 A413 A424 A445 A453 A495 A518 A570 A600"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00B0F0"/>
  </sheetPr>
  <dimension ref="A1:W60"/>
  <sheetViews>
    <sheetView view="pageBreakPreview" zoomScaleNormal="100" workbookViewId="0">
      <selection activeCell="D2" sqref="D2:K2"/>
    </sheetView>
  </sheetViews>
  <sheetFormatPr defaultColWidth="9" defaultRowHeight="14.25"/>
  <cols>
    <col min="1" max="1" width="4.53125" style="18" customWidth="1"/>
    <col min="2" max="2" width="5.796875" style="18" customWidth="1"/>
    <col min="3" max="3" width="2" style="18" customWidth="1"/>
    <col min="4" max="4" width="12.53125" style="18" customWidth="1"/>
    <col min="5" max="5" width="1.86328125" style="18" customWidth="1"/>
    <col min="6" max="6" width="16" style="18" customWidth="1"/>
    <col min="7" max="7" width="1.53125" style="18" customWidth="1"/>
    <col min="8" max="9" width="9.86328125" style="18" customWidth="1"/>
    <col min="10" max="10" width="10.796875" style="18" customWidth="1"/>
    <col min="11" max="13" width="12.86328125" style="18" customWidth="1"/>
    <col min="14" max="14" width="4.53125" style="18" customWidth="1"/>
    <col min="15" max="15" width="5.796875" style="18" customWidth="1"/>
    <col min="16" max="16" width="2" style="18" customWidth="1"/>
    <col min="17" max="17" width="3.86328125" style="18" customWidth="1"/>
    <col min="18" max="18" width="34" style="18" customWidth="1"/>
    <col min="19" max="19" width="13.86328125" style="18" customWidth="1"/>
    <col min="20" max="20" width="10.796875" style="18" customWidth="1"/>
    <col min="21" max="21" width="12.86328125" style="18" customWidth="1"/>
    <col min="22" max="22" width="9" style="18" customWidth="1"/>
    <col min="23" max="268" width="9" style="18"/>
    <col min="269" max="269" width="9.86328125" style="18" customWidth="1"/>
    <col min="270" max="270" width="2" style="18" customWidth="1"/>
    <col min="271" max="271" width="12.53125" style="18" customWidth="1"/>
    <col min="272" max="272" width="1.86328125" style="18" customWidth="1"/>
    <col min="273" max="273" width="2" style="18" customWidth="1"/>
    <col min="274" max="274" width="16" style="18" customWidth="1"/>
    <col min="275" max="275" width="26" style="18" customWidth="1"/>
    <col min="276" max="276" width="9" style="18"/>
    <col min="277" max="277" width="9" style="18" customWidth="1"/>
    <col min="278" max="524" width="9" style="18"/>
    <col min="525" max="525" width="9.86328125" style="18" customWidth="1"/>
    <col min="526" max="526" width="2" style="18" customWidth="1"/>
    <col min="527" max="527" width="12.53125" style="18" customWidth="1"/>
    <col min="528" max="528" width="1.86328125" style="18" customWidth="1"/>
    <col min="529" max="529" width="2" style="18" customWidth="1"/>
    <col min="530" max="530" width="16" style="18" customWidth="1"/>
    <col min="531" max="531" width="26" style="18" customWidth="1"/>
    <col min="532" max="532" width="9" style="18"/>
    <col min="533" max="533" width="9" style="18" customWidth="1"/>
    <col min="534" max="780" width="9" style="18"/>
    <col min="781" max="781" width="9.86328125" style="18" customWidth="1"/>
    <col min="782" max="782" width="2" style="18" customWidth="1"/>
    <col min="783" max="783" width="12.53125" style="18" customWidth="1"/>
    <col min="784" max="784" width="1.86328125" style="18" customWidth="1"/>
    <col min="785" max="785" width="2" style="18" customWidth="1"/>
    <col min="786" max="786" width="16" style="18" customWidth="1"/>
    <col min="787" max="787" width="26" style="18" customWidth="1"/>
    <col min="788" max="788" width="9" style="18"/>
    <col min="789" max="789" width="9" style="18" customWidth="1"/>
    <col min="790" max="1036" width="9" style="18"/>
    <col min="1037" max="1037" width="9.86328125" style="18" customWidth="1"/>
    <col min="1038" max="1038" width="2" style="18" customWidth="1"/>
    <col min="1039" max="1039" width="12.53125" style="18" customWidth="1"/>
    <col min="1040" max="1040" width="1.86328125" style="18" customWidth="1"/>
    <col min="1041" max="1041" width="2" style="18" customWidth="1"/>
    <col min="1042" max="1042" width="16" style="18" customWidth="1"/>
    <col min="1043" max="1043" width="26" style="18" customWidth="1"/>
    <col min="1044" max="1044" width="9" style="18"/>
    <col min="1045" max="1045" width="9" style="18" customWidth="1"/>
    <col min="1046" max="1292" width="9" style="18"/>
    <col min="1293" max="1293" width="9.86328125" style="18" customWidth="1"/>
    <col min="1294" max="1294" width="2" style="18" customWidth="1"/>
    <col min="1295" max="1295" width="12.53125" style="18" customWidth="1"/>
    <col min="1296" max="1296" width="1.86328125" style="18" customWidth="1"/>
    <col min="1297" max="1297" width="2" style="18" customWidth="1"/>
    <col min="1298" max="1298" width="16" style="18" customWidth="1"/>
    <col min="1299" max="1299" width="26" style="18" customWidth="1"/>
    <col min="1300" max="1300" width="9" style="18"/>
    <col min="1301" max="1301" width="9" style="18" customWidth="1"/>
    <col min="1302" max="1548" width="9" style="18"/>
    <col min="1549" max="1549" width="9.86328125" style="18" customWidth="1"/>
    <col min="1550" max="1550" width="2" style="18" customWidth="1"/>
    <col min="1551" max="1551" width="12.53125" style="18" customWidth="1"/>
    <col min="1552" max="1552" width="1.86328125" style="18" customWidth="1"/>
    <col min="1553" max="1553" width="2" style="18" customWidth="1"/>
    <col min="1554" max="1554" width="16" style="18" customWidth="1"/>
    <col min="1555" max="1555" width="26" style="18" customWidth="1"/>
    <col min="1556" max="1556" width="9" style="18"/>
    <col min="1557" max="1557" width="9" style="18" customWidth="1"/>
    <col min="1558" max="1804" width="9" style="18"/>
    <col min="1805" max="1805" width="9.86328125" style="18" customWidth="1"/>
    <col min="1806" max="1806" width="2" style="18" customWidth="1"/>
    <col min="1807" max="1807" width="12.53125" style="18" customWidth="1"/>
    <col min="1808" max="1808" width="1.86328125" style="18" customWidth="1"/>
    <col min="1809" max="1809" width="2" style="18" customWidth="1"/>
    <col min="1810" max="1810" width="16" style="18" customWidth="1"/>
    <col min="1811" max="1811" width="26" style="18" customWidth="1"/>
    <col min="1812" max="1812" width="9" style="18"/>
    <col min="1813" max="1813" width="9" style="18" customWidth="1"/>
    <col min="1814" max="2060" width="9" style="18"/>
    <col min="2061" max="2061" width="9.86328125" style="18" customWidth="1"/>
    <col min="2062" max="2062" width="2" style="18" customWidth="1"/>
    <col min="2063" max="2063" width="12.53125" style="18" customWidth="1"/>
    <col min="2064" max="2064" width="1.86328125" style="18" customWidth="1"/>
    <col min="2065" max="2065" width="2" style="18" customWidth="1"/>
    <col min="2066" max="2066" width="16" style="18" customWidth="1"/>
    <col min="2067" max="2067" width="26" style="18" customWidth="1"/>
    <col min="2068" max="2068" width="9" style="18"/>
    <col min="2069" max="2069" width="9" style="18" customWidth="1"/>
    <col min="2070" max="2316" width="9" style="18"/>
    <col min="2317" max="2317" width="9.86328125" style="18" customWidth="1"/>
    <col min="2318" max="2318" width="2" style="18" customWidth="1"/>
    <col min="2319" max="2319" width="12.53125" style="18" customWidth="1"/>
    <col min="2320" max="2320" width="1.86328125" style="18" customWidth="1"/>
    <col min="2321" max="2321" width="2" style="18" customWidth="1"/>
    <col min="2322" max="2322" width="16" style="18" customWidth="1"/>
    <col min="2323" max="2323" width="26" style="18" customWidth="1"/>
    <col min="2324" max="2324" width="9" style="18"/>
    <col min="2325" max="2325" width="9" style="18" customWidth="1"/>
    <col min="2326" max="2572" width="9" style="18"/>
    <col min="2573" max="2573" width="9.86328125" style="18" customWidth="1"/>
    <col min="2574" max="2574" width="2" style="18" customWidth="1"/>
    <col min="2575" max="2575" width="12.53125" style="18" customWidth="1"/>
    <col min="2576" max="2576" width="1.86328125" style="18" customWidth="1"/>
    <col min="2577" max="2577" width="2" style="18" customWidth="1"/>
    <col min="2578" max="2578" width="16" style="18" customWidth="1"/>
    <col min="2579" max="2579" width="26" style="18" customWidth="1"/>
    <col min="2580" max="2580" width="9" style="18"/>
    <col min="2581" max="2581" width="9" style="18" customWidth="1"/>
    <col min="2582" max="2828" width="9" style="18"/>
    <col min="2829" max="2829" width="9.86328125" style="18" customWidth="1"/>
    <col min="2830" max="2830" width="2" style="18" customWidth="1"/>
    <col min="2831" max="2831" width="12.53125" style="18" customWidth="1"/>
    <col min="2832" max="2832" width="1.86328125" style="18" customWidth="1"/>
    <col min="2833" max="2833" width="2" style="18" customWidth="1"/>
    <col min="2834" max="2834" width="16" style="18" customWidth="1"/>
    <col min="2835" max="2835" width="26" style="18" customWidth="1"/>
    <col min="2836" max="2836" width="9" style="18"/>
    <col min="2837" max="2837" width="9" style="18" customWidth="1"/>
    <col min="2838" max="3084" width="9" style="18"/>
    <col min="3085" max="3085" width="9.86328125" style="18" customWidth="1"/>
    <col min="3086" max="3086" width="2" style="18" customWidth="1"/>
    <col min="3087" max="3087" width="12.53125" style="18" customWidth="1"/>
    <col min="3088" max="3088" width="1.86328125" style="18" customWidth="1"/>
    <col min="3089" max="3089" width="2" style="18" customWidth="1"/>
    <col min="3090" max="3090" width="16" style="18" customWidth="1"/>
    <col min="3091" max="3091" width="26" style="18" customWidth="1"/>
    <col min="3092" max="3092" width="9" style="18"/>
    <col min="3093" max="3093" width="9" style="18" customWidth="1"/>
    <col min="3094" max="3340" width="9" style="18"/>
    <col min="3341" max="3341" width="9.86328125" style="18" customWidth="1"/>
    <col min="3342" max="3342" width="2" style="18" customWidth="1"/>
    <col min="3343" max="3343" width="12.53125" style="18" customWidth="1"/>
    <col min="3344" max="3344" width="1.86328125" style="18" customWidth="1"/>
    <col min="3345" max="3345" width="2" style="18" customWidth="1"/>
    <col min="3346" max="3346" width="16" style="18" customWidth="1"/>
    <col min="3347" max="3347" width="26" style="18" customWidth="1"/>
    <col min="3348" max="3348" width="9" style="18"/>
    <col min="3349" max="3349" width="9" style="18" customWidth="1"/>
    <col min="3350" max="3596" width="9" style="18"/>
    <col min="3597" max="3597" width="9.86328125" style="18" customWidth="1"/>
    <col min="3598" max="3598" width="2" style="18" customWidth="1"/>
    <col min="3599" max="3599" width="12.53125" style="18" customWidth="1"/>
    <col min="3600" max="3600" width="1.86328125" style="18" customWidth="1"/>
    <col min="3601" max="3601" width="2" style="18" customWidth="1"/>
    <col min="3602" max="3602" width="16" style="18" customWidth="1"/>
    <col min="3603" max="3603" width="26" style="18" customWidth="1"/>
    <col min="3604" max="3604" width="9" style="18"/>
    <col min="3605" max="3605" width="9" style="18" customWidth="1"/>
    <col min="3606" max="3852" width="9" style="18"/>
    <col min="3853" max="3853" width="9.86328125" style="18" customWidth="1"/>
    <col min="3854" max="3854" width="2" style="18" customWidth="1"/>
    <col min="3855" max="3855" width="12.53125" style="18" customWidth="1"/>
    <col min="3856" max="3856" width="1.86328125" style="18" customWidth="1"/>
    <col min="3857" max="3857" width="2" style="18" customWidth="1"/>
    <col min="3858" max="3858" width="16" style="18" customWidth="1"/>
    <col min="3859" max="3859" width="26" style="18" customWidth="1"/>
    <col min="3860" max="3860" width="9" style="18"/>
    <col min="3861" max="3861" width="9" style="18" customWidth="1"/>
    <col min="3862" max="4108" width="9" style="18"/>
    <col min="4109" max="4109" width="9.86328125" style="18" customWidth="1"/>
    <col min="4110" max="4110" width="2" style="18" customWidth="1"/>
    <col min="4111" max="4111" width="12.53125" style="18" customWidth="1"/>
    <col min="4112" max="4112" width="1.86328125" style="18" customWidth="1"/>
    <col min="4113" max="4113" width="2" style="18" customWidth="1"/>
    <col min="4114" max="4114" width="16" style="18" customWidth="1"/>
    <col min="4115" max="4115" width="26" style="18" customWidth="1"/>
    <col min="4116" max="4116" width="9" style="18"/>
    <col min="4117" max="4117" width="9" style="18" customWidth="1"/>
    <col min="4118" max="4364" width="9" style="18"/>
    <col min="4365" max="4365" width="9.86328125" style="18" customWidth="1"/>
    <col min="4366" max="4366" width="2" style="18" customWidth="1"/>
    <col min="4367" max="4367" width="12.53125" style="18" customWidth="1"/>
    <col min="4368" max="4368" width="1.86328125" style="18" customWidth="1"/>
    <col min="4369" max="4369" width="2" style="18" customWidth="1"/>
    <col min="4370" max="4370" width="16" style="18" customWidth="1"/>
    <col min="4371" max="4371" width="26" style="18" customWidth="1"/>
    <col min="4372" max="4372" width="9" style="18"/>
    <col min="4373" max="4373" width="9" style="18" customWidth="1"/>
    <col min="4374" max="4620" width="9" style="18"/>
    <col min="4621" max="4621" width="9.86328125" style="18" customWidth="1"/>
    <col min="4622" max="4622" width="2" style="18" customWidth="1"/>
    <col min="4623" max="4623" width="12.53125" style="18" customWidth="1"/>
    <col min="4624" max="4624" width="1.86328125" style="18" customWidth="1"/>
    <col min="4625" max="4625" width="2" style="18" customWidth="1"/>
    <col min="4626" max="4626" width="16" style="18" customWidth="1"/>
    <col min="4627" max="4627" width="26" style="18" customWidth="1"/>
    <col min="4628" max="4628" width="9" style="18"/>
    <col min="4629" max="4629" width="9" style="18" customWidth="1"/>
    <col min="4630" max="4876" width="9" style="18"/>
    <col min="4877" max="4877" width="9.86328125" style="18" customWidth="1"/>
    <col min="4878" max="4878" width="2" style="18" customWidth="1"/>
    <col min="4879" max="4879" width="12.53125" style="18" customWidth="1"/>
    <col min="4880" max="4880" width="1.86328125" style="18" customWidth="1"/>
    <col min="4881" max="4881" width="2" style="18" customWidth="1"/>
    <col min="4882" max="4882" width="16" style="18" customWidth="1"/>
    <col min="4883" max="4883" width="26" style="18" customWidth="1"/>
    <col min="4884" max="4884" width="9" style="18"/>
    <col min="4885" max="4885" width="9" style="18" customWidth="1"/>
    <col min="4886" max="5132" width="9" style="18"/>
    <col min="5133" max="5133" width="9.86328125" style="18" customWidth="1"/>
    <col min="5134" max="5134" width="2" style="18" customWidth="1"/>
    <col min="5135" max="5135" width="12.53125" style="18" customWidth="1"/>
    <col min="5136" max="5136" width="1.86328125" style="18" customWidth="1"/>
    <col min="5137" max="5137" width="2" style="18" customWidth="1"/>
    <col min="5138" max="5138" width="16" style="18" customWidth="1"/>
    <col min="5139" max="5139" width="26" style="18" customWidth="1"/>
    <col min="5140" max="5140" width="9" style="18"/>
    <col min="5141" max="5141" width="9" style="18" customWidth="1"/>
    <col min="5142" max="5388" width="9" style="18"/>
    <col min="5389" max="5389" width="9.86328125" style="18" customWidth="1"/>
    <col min="5390" max="5390" width="2" style="18" customWidth="1"/>
    <col min="5391" max="5391" width="12.53125" style="18" customWidth="1"/>
    <col min="5392" max="5392" width="1.86328125" style="18" customWidth="1"/>
    <col min="5393" max="5393" width="2" style="18" customWidth="1"/>
    <col min="5394" max="5394" width="16" style="18" customWidth="1"/>
    <col min="5395" max="5395" width="26" style="18" customWidth="1"/>
    <col min="5396" max="5396" width="9" style="18"/>
    <col min="5397" max="5397" width="9" style="18" customWidth="1"/>
    <col min="5398" max="5644" width="9" style="18"/>
    <col min="5645" max="5645" width="9.86328125" style="18" customWidth="1"/>
    <col min="5646" max="5646" width="2" style="18" customWidth="1"/>
    <col min="5647" max="5647" width="12.53125" style="18" customWidth="1"/>
    <col min="5648" max="5648" width="1.86328125" style="18" customWidth="1"/>
    <col min="5649" max="5649" width="2" style="18" customWidth="1"/>
    <col min="5650" max="5650" width="16" style="18" customWidth="1"/>
    <col min="5651" max="5651" width="26" style="18" customWidth="1"/>
    <col min="5652" max="5652" width="9" style="18"/>
    <col min="5653" max="5653" width="9" style="18" customWidth="1"/>
    <col min="5654" max="5900" width="9" style="18"/>
    <col min="5901" max="5901" width="9.86328125" style="18" customWidth="1"/>
    <col min="5902" max="5902" width="2" style="18" customWidth="1"/>
    <col min="5903" max="5903" width="12.53125" style="18" customWidth="1"/>
    <col min="5904" max="5904" width="1.86328125" style="18" customWidth="1"/>
    <col min="5905" max="5905" width="2" style="18" customWidth="1"/>
    <col min="5906" max="5906" width="16" style="18" customWidth="1"/>
    <col min="5907" max="5907" width="26" style="18" customWidth="1"/>
    <col min="5908" max="5908" width="9" style="18"/>
    <col min="5909" max="5909" width="9" style="18" customWidth="1"/>
    <col min="5910" max="6156" width="9" style="18"/>
    <col min="6157" max="6157" width="9.86328125" style="18" customWidth="1"/>
    <col min="6158" max="6158" width="2" style="18" customWidth="1"/>
    <col min="6159" max="6159" width="12.53125" style="18" customWidth="1"/>
    <col min="6160" max="6160" width="1.86328125" style="18" customWidth="1"/>
    <col min="6161" max="6161" width="2" style="18" customWidth="1"/>
    <col min="6162" max="6162" width="16" style="18" customWidth="1"/>
    <col min="6163" max="6163" width="26" style="18" customWidth="1"/>
    <col min="6164" max="6164" width="9" style="18"/>
    <col min="6165" max="6165" width="9" style="18" customWidth="1"/>
    <col min="6166" max="6412" width="9" style="18"/>
    <col min="6413" max="6413" width="9.86328125" style="18" customWidth="1"/>
    <col min="6414" max="6414" width="2" style="18" customWidth="1"/>
    <col min="6415" max="6415" width="12.53125" style="18" customWidth="1"/>
    <col min="6416" max="6416" width="1.86328125" style="18" customWidth="1"/>
    <col min="6417" max="6417" width="2" style="18" customWidth="1"/>
    <col min="6418" max="6418" width="16" style="18" customWidth="1"/>
    <col min="6419" max="6419" width="26" style="18" customWidth="1"/>
    <col min="6420" max="6420" width="9" style="18"/>
    <col min="6421" max="6421" width="9" style="18" customWidth="1"/>
    <col min="6422" max="6668" width="9" style="18"/>
    <col min="6669" max="6669" width="9.86328125" style="18" customWidth="1"/>
    <col min="6670" max="6670" width="2" style="18" customWidth="1"/>
    <col min="6671" max="6671" width="12.53125" style="18" customWidth="1"/>
    <col min="6672" max="6672" width="1.86328125" style="18" customWidth="1"/>
    <col min="6673" max="6673" width="2" style="18" customWidth="1"/>
    <col min="6674" max="6674" width="16" style="18" customWidth="1"/>
    <col min="6675" max="6675" width="26" style="18" customWidth="1"/>
    <col min="6676" max="6676" width="9" style="18"/>
    <col min="6677" max="6677" width="9" style="18" customWidth="1"/>
    <col min="6678" max="6924" width="9" style="18"/>
    <col min="6925" max="6925" width="9.86328125" style="18" customWidth="1"/>
    <col min="6926" max="6926" width="2" style="18" customWidth="1"/>
    <col min="6927" max="6927" width="12.53125" style="18" customWidth="1"/>
    <col min="6928" max="6928" width="1.86328125" style="18" customWidth="1"/>
    <col min="6929" max="6929" width="2" style="18" customWidth="1"/>
    <col min="6930" max="6930" width="16" style="18" customWidth="1"/>
    <col min="6931" max="6931" width="26" style="18" customWidth="1"/>
    <col min="6932" max="6932" width="9" style="18"/>
    <col min="6933" max="6933" width="9" style="18" customWidth="1"/>
    <col min="6934" max="7180" width="9" style="18"/>
    <col min="7181" max="7181" width="9.86328125" style="18" customWidth="1"/>
    <col min="7182" max="7182" width="2" style="18" customWidth="1"/>
    <col min="7183" max="7183" width="12.53125" style="18" customWidth="1"/>
    <col min="7184" max="7184" width="1.86328125" style="18" customWidth="1"/>
    <col min="7185" max="7185" width="2" style="18" customWidth="1"/>
    <col min="7186" max="7186" width="16" style="18" customWidth="1"/>
    <col min="7187" max="7187" width="26" style="18" customWidth="1"/>
    <col min="7188" max="7188" width="9" style="18"/>
    <col min="7189" max="7189" width="9" style="18" customWidth="1"/>
    <col min="7190" max="7436" width="9" style="18"/>
    <col min="7437" max="7437" width="9.86328125" style="18" customWidth="1"/>
    <col min="7438" max="7438" width="2" style="18" customWidth="1"/>
    <col min="7439" max="7439" width="12.53125" style="18" customWidth="1"/>
    <col min="7440" max="7440" width="1.86328125" style="18" customWidth="1"/>
    <col min="7441" max="7441" width="2" style="18" customWidth="1"/>
    <col min="7442" max="7442" width="16" style="18" customWidth="1"/>
    <col min="7443" max="7443" width="26" style="18" customWidth="1"/>
    <col min="7444" max="7444" width="9" style="18"/>
    <col min="7445" max="7445" width="9" style="18" customWidth="1"/>
    <col min="7446" max="7692" width="9" style="18"/>
    <col min="7693" max="7693" width="9.86328125" style="18" customWidth="1"/>
    <col min="7694" max="7694" width="2" style="18" customWidth="1"/>
    <col min="7695" max="7695" width="12.53125" style="18" customWidth="1"/>
    <col min="7696" max="7696" width="1.86328125" style="18" customWidth="1"/>
    <col min="7697" max="7697" width="2" style="18" customWidth="1"/>
    <col min="7698" max="7698" width="16" style="18" customWidth="1"/>
    <col min="7699" max="7699" width="26" style="18" customWidth="1"/>
    <col min="7700" max="7700" width="9" style="18"/>
    <col min="7701" max="7701" width="9" style="18" customWidth="1"/>
    <col min="7702" max="7948" width="9" style="18"/>
    <col min="7949" max="7949" width="9.86328125" style="18" customWidth="1"/>
    <col min="7950" max="7950" width="2" style="18" customWidth="1"/>
    <col min="7951" max="7951" width="12.53125" style="18" customWidth="1"/>
    <col min="7952" max="7952" width="1.86328125" style="18" customWidth="1"/>
    <col min="7953" max="7953" width="2" style="18" customWidth="1"/>
    <col min="7954" max="7954" width="16" style="18" customWidth="1"/>
    <col min="7955" max="7955" width="26" style="18" customWidth="1"/>
    <col min="7956" max="7956" width="9" style="18"/>
    <col min="7957" max="7957" width="9" style="18" customWidth="1"/>
    <col min="7958" max="8204" width="9" style="18"/>
    <col min="8205" max="8205" width="9.86328125" style="18" customWidth="1"/>
    <col min="8206" max="8206" width="2" style="18" customWidth="1"/>
    <col min="8207" max="8207" width="12.53125" style="18" customWidth="1"/>
    <col min="8208" max="8208" width="1.86328125" style="18" customWidth="1"/>
    <col min="8209" max="8209" width="2" style="18" customWidth="1"/>
    <col min="8210" max="8210" width="16" style="18" customWidth="1"/>
    <col min="8211" max="8211" width="26" style="18" customWidth="1"/>
    <col min="8212" max="8212" width="9" style="18"/>
    <col min="8213" max="8213" width="9" style="18" customWidth="1"/>
    <col min="8214" max="8460" width="9" style="18"/>
    <col min="8461" max="8461" width="9.86328125" style="18" customWidth="1"/>
    <col min="8462" max="8462" width="2" style="18" customWidth="1"/>
    <col min="8463" max="8463" width="12.53125" style="18" customWidth="1"/>
    <col min="8464" max="8464" width="1.86328125" style="18" customWidth="1"/>
    <col min="8465" max="8465" width="2" style="18" customWidth="1"/>
    <col min="8466" max="8466" width="16" style="18" customWidth="1"/>
    <col min="8467" max="8467" width="26" style="18" customWidth="1"/>
    <col min="8468" max="8468" width="9" style="18"/>
    <col min="8469" max="8469" width="9" style="18" customWidth="1"/>
    <col min="8470" max="8716" width="9" style="18"/>
    <col min="8717" max="8717" width="9.86328125" style="18" customWidth="1"/>
    <col min="8718" max="8718" width="2" style="18" customWidth="1"/>
    <col min="8719" max="8719" width="12.53125" style="18" customWidth="1"/>
    <col min="8720" max="8720" width="1.86328125" style="18" customWidth="1"/>
    <col min="8721" max="8721" width="2" style="18" customWidth="1"/>
    <col min="8722" max="8722" width="16" style="18" customWidth="1"/>
    <col min="8723" max="8723" width="26" style="18" customWidth="1"/>
    <col min="8724" max="8724" width="9" style="18"/>
    <col min="8725" max="8725" width="9" style="18" customWidth="1"/>
    <col min="8726" max="8972" width="9" style="18"/>
    <col min="8973" max="8973" width="9.86328125" style="18" customWidth="1"/>
    <col min="8974" max="8974" width="2" style="18" customWidth="1"/>
    <col min="8975" max="8975" width="12.53125" style="18" customWidth="1"/>
    <col min="8976" max="8976" width="1.86328125" style="18" customWidth="1"/>
    <col min="8977" max="8977" width="2" style="18" customWidth="1"/>
    <col min="8978" max="8978" width="16" style="18" customWidth="1"/>
    <col min="8979" max="8979" width="26" style="18" customWidth="1"/>
    <col min="8980" max="8980" width="9" style="18"/>
    <col min="8981" max="8981" width="9" style="18" customWidth="1"/>
    <col min="8982" max="9228" width="9" style="18"/>
    <col min="9229" max="9229" width="9.86328125" style="18" customWidth="1"/>
    <col min="9230" max="9230" width="2" style="18" customWidth="1"/>
    <col min="9231" max="9231" width="12.53125" style="18" customWidth="1"/>
    <col min="9232" max="9232" width="1.86328125" style="18" customWidth="1"/>
    <col min="9233" max="9233" width="2" style="18" customWidth="1"/>
    <col min="9234" max="9234" width="16" style="18" customWidth="1"/>
    <col min="9235" max="9235" width="26" style="18" customWidth="1"/>
    <col min="9236" max="9236" width="9" style="18"/>
    <col min="9237" max="9237" width="9" style="18" customWidth="1"/>
    <col min="9238" max="9484" width="9" style="18"/>
    <col min="9485" max="9485" width="9.86328125" style="18" customWidth="1"/>
    <col min="9486" max="9486" width="2" style="18" customWidth="1"/>
    <col min="9487" max="9487" width="12.53125" style="18" customWidth="1"/>
    <col min="9488" max="9488" width="1.86328125" style="18" customWidth="1"/>
    <col min="9489" max="9489" width="2" style="18" customWidth="1"/>
    <col min="9490" max="9490" width="16" style="18" customWidth="1"/>
    <col min="9491" max="9491" width="26" style="18" customWidth="1"/>
    <col min="9492" max="9492" width="9" style="18"/>
    <col min="9493" max="9493" width="9" style="18" customWidth="1"/>
    <col min="9494" max="9740" width="9" style="18"/>
    <col min="9741" max="9741" width="9.86328125" style="18" customWidth="1"/>
    <col min="9742" max="9742" width="2" style="18" customWidth="1"/>
    <col min="9743" max="9743" width="12.53125" style="18" customWidth="1"/>
    <col min="9744" max="9744" width="1.86328125" style="18" customWidth="1"/>
    <col min="9745" max="9745" width="2" style="18" customWidth="1"/>
    <col min="9746" max="9746" width="16" style="18" customWidth="1"/>
    <col min="9747" max="9747" width="26" style="18" customWidth="1"/>
    <col min="9748" max="9748" width="9" style="18"/>
    <col min="9749" max="9749" width="9" style="18" customWidth="1"/>
    <col min="9750" max="9996" width="9" style="18"/>
    <col min="9997" max="9997" width="9.86328125" style="18" customWidth="1"/>
    <col min="9998" max="9998" width="2" style="18" customWidth="1"/>
    <col min="9999" max="9999" width="12.53125" style="18" customWidth="1"/>
    <col min="10000" max="10000" width="1.86328125" style="18" customWidth="1"/>
    <col min="10001" max="10001" width="2" style="18" customWidth="1"/>
    <col min="10002" max="10002" width="16" style="18" customWidth="1"/>
    <col min="10003" max="10003" width="26" style="18" customWidth="1"/>
    <col min="10004" max="10004" width="9" style="18"/>
    <col min="10005" max="10005" width="9" style="18" customWidth="1"/>
    <col min="10006" max="10252" width="9" style="18"/>
    <col min="10253" max="10253" width="9.86328125" style="18" customWidth="1"/>
    <col min="10254" max="10254" width="2" style="18" customWidth="1"/>
    <col min="10255" max="10255" width="12.53125" style="18" customWidth="1"/>
    <col min="10256" max="10256" width="1.86328125" style="18" customWidth="1"/>
    <col min="10257" max="10257" width="2" style="18" customWidth="1"/>
    <col min="10258" max="10258" width="16" style="18" customWidth="1"/>
    <col min="10259" max="10259" width="26" style="18" customWidth="1"/>
    <col min="10260" max="10260" width="9" style="18"/>
    <col min="10261" max="10261" width="9" style="18" customWidth="1"/>
    <col min="10262" max="10508" width="9" style="18"/>
    <col min="10509" max="10509" width="9.86328125" style="18" customWidth="1"/>
    <col min="10510" max="10510" width="2" style="18" customWidth="1"/>
    <col min="10511" max="10511" width="12.53125" style="18" customWidth="1"/>
    <col min="10512" max="10512" width="1.86328125" style="18" customWidth="1"/>
    <col min="10513" max="10513" width="2" style="18" customWidth="1"/>
    <col min="10514" max="10514" width="16" style="18" customWidth="1"/>
    <col min="10515" max="10515" width="26" style="18" customWidth="1"/>
    <col min="10516" max="10516" width="9" style="18"/>
    <col min="10517" max="10517" width="9" style="18" customWidth="1"/>
    <col min="10518" max="10764" width="9" style="18"/>
    <col min="10765" max="10765" width="9.86328125" style="18" customWidth="1"/>
    <col min="10766" max="10766" width="2" style="18" customWidth="1"/>
    <col min="10767" max="10767" width="12.53125" style="18" customWidth="1"/>
    <col min="10768" max="10768" width="1.86328125" style="18" customWidth="1"/>
    <col min="10769" max="10769" width="2" style="18" customWidth="1"/>
    <col min="10770" max="10770" width="16" style="18" customWidth="1"/>
    <col min="10771" max="10771" width="26" style="18" customWidth="1"/>
    <col min="10772" max="10772" width="9" style="18"/>
    <col min="10773" max="10773" width="9" style="18" customWidth="1"/>
    <col min="10774" max="11020" width="9" style="18"/>
    <col min="11021" max="11021" width="9.86328125" style="18" customWidth="1"/>
    <col min="11022" max="11022" width="2" style="18" customWidth="1"/>
    <col min="11023" max="11023" width="12.53125" style="18" customWidth="1"/>
    <col min="11024" max="11024" width="1.86328125" style="18" customWidth="1"/>
    <col min="11025" max="11025" width="2" style="18" customWidth="1"/>
    <col min="11026" max="11026" width="16" style="18" customWidth="1"/>
    <col min="11027" max="11027" width="26" style="18" customWidth="1"/>
    <col min="11028" max="11028" width="9" style="18"/>
    <col min="11029" max="11029" width="9" style="18" customWidth="1"/>
    <col min="11030" max="11276" width="9" style="18"/>
    <col min="11277" max="11277" width="9.86328125" style="18" customWidth="1"/>
    <col min="11278" max="11278" width="2" style="18" customWidth="1"/>
    <col min="11279" max="11279" width="12.53125" style="18" customWidth="1"/>
    <col min="11280" max="11280" width="1.86328125" style="18" customWidth="1"/>
    <col min="11281" max="11281" width="2" style="18" customWidth="1"/>
    <col min="11282" max="11282" width="16" style="18" customWidth="1"/>
    <col min="11283" max="11283" width="26" style="18" customWidth="1"/>
    <col min="11284" max="11284" width="9" style="18"/>
    <col min="11285" max="11285" width="9" style="18" customWidth="1"/>
    <col min="11286" max="11532" width="9" style="18"/>
    <col min="11533" max="11533" width="9.86328125" style="18" customWidth="1"/>
    <col min="11534" max="11534" width="2" style="18" customWidth="1"/>
    <col min="11535" max="11535" width="12.53125" style="18" customWidth="1"/>
    <col min="11536" max="11536" width="1.86328125" style="18" customWidth="1"/>
    <col min="11537" max="11537" width="2" style="18" customWidth="1"/>
    <col min="11538" max="11538" width="16" style="18" customWidth="1"/>
    <col min="11539" max="11539" width="26" style="18" customWidth="1"/>
    <col min="11540" max="11540" width="9" style="18"/>
    <col min="11541" max="11541" width="9" style="18" customWidth="1"/>
    <col min="11542" max="11788" width="9" style="18"/>
    <col min="11789" max="11789" width="9.86328125" style="18" customWidth="1"/>
    <col min="11790" max="11790" width="2" style="18" customWidth="1"/>
    <col min="11791" max="11791" width="12.53125" style="18" customWidth="1"/>
    <col min="11792" max="11792" width="1.86328125" style="18" customWidth="1"/>
    <col min="11793" max="11793" width="2" style="18" customWidth="1"/>
    <col min="11794" max="11794" width="16" style="18" customWidth="1"/>
    <col min="11795" max="11795" width="26" style="18" customWidth="1"/>
    <col min="11796" max="11796" width="9" style="18"/>
    <col min="11797" max="11797" width="9" style="18" customWidth="1"/>
    <col min="11798" max="12044" width="9" style="18"/>
    <col min="12045" max="12045" width="9.86328125" style="18" customWidth="1"/>
    <col min="12046" max="12046" width="2" style="18" customWidth="1"/>
    <col min="12047" max="12047" width="12.53125" style="18" customWidth="1"/>
    <col min="12048" max="12048" width="1.86328125" style="18" customWidth="1"/>
    <col min="12049" max="12049" width="2" style="18" customWidth="1"/>
    <col min="12050" max="12050" width="16" style="18" customWidth="1"/>
    <col min="12051" max="12051" width="26" style="18" customWidth="1"/>
    <col min="12052" max="12052" width="9" style="18"/>
    <col min="12053" max="12053" width="9" style="18" customWidth="1"/>
    <col min="12054" max="12300" width="9" style="18"/>
    <col min="12301" max="12301" width="9.86328125" style="18" customWidth="1"/>
    <col min="12302" max="12302" width="2" style="18" customWidth="1"/>
    <col min="12303" max="12303" width="12.53125" style="18" customWidth="1"/>
    <col min="12304" max="12304" width="1.86328125" style="18" customWidth="1"/>
    <col min="12305" max="12305" width="2" style="18" customWidth="1"/>
    <col min="12306" max="12306" width="16" style="18" customWidth="1"/>
    <col min="12307" max="12307" width="26" style="18" customWidth="1"/>
    <col min="12308" max="12308" width="9" style="18"/>
    <col min="12309" max="12309" width="9" style="18" customWidth="1"/>
    <col min="12310" max="12556" width="9" style="18"/>
    <col min="12557" max="12557" width="9.86328125" style="18" customWidth="1"/>
    <col min="12558" max="12558" width="2" style="18" customWidth="1"/>
    <col min="12559" max="12559" width="12.53125" style="18" customWidth="1"/>
    <col min="12560" max="12560" width="1.86328125" style="18" customWidth="1"/>
    <col min="12561" max="12561" width="2" style="18" customWidth="1"/>
    <col min="12562" max="12562" width="16" style="18" customWidth="1"/>
    <col min="12563" max="12563" width="26" style="18" customWidth="1"/>
    <col min="12564" max="12564" width="9" style="18"/>
    <col min="12565" max="12565" width="9" style="18" customWidth="1"/>
    <col min="12566" max="12812" width="9" style="18"/>
    <col min="12813" max="12813" width="9.86328125" style="18" customWidth="1"/>
    <col min="12814" max="12814" width="2" style="18" customWidth="1"/>
    <col min="12815" max="12815" width="12.53125" style="18" customWidth="1"/>
    <col min="12816" max="12816" width="1.86328125" style="18" customWidth="1"/>
    <col min="12817" max="12817" width="2" style="18" customWidth="1"/>
    <col min="12818" max="12818" width="16" style="18" customWidth="1"/>
    <col min="12819" max="12819" width="26" style="18" customWidth="1"/>
    <col min="12820" max="12820" width="9" style="18"/>
    <col min="12821" max="12821" width="9" style="18" customWidth="1"/>
    <col min="12822" max="13068" width="9" style="18"/>
    <col min="13069" max="13069" width="9.86328125" style="18" customWidth="1"/>
    <col min="13070" max="13070" width="2" style="18" customWidth="1"/>
    <col min="13071" max="13071" width="12.53125" style="18" customWidth="1"/>
    <col min="13072" max="13072" width="1.86328125" style="18" customWidth="1"/>
    <col min="13073" max="13073" width="2" style="18" customWidth="1"/>
    <col min="13074" max="13074" width="16" style="18" customWidth="1"/>
    <col min="13075" max="13075" width="26" style="18" customWidth="1"/>
    <col min="13076" max="13076" width="9" style="18"/>
    <col min="13077" max="13077" width="9" style="18" customWidth="1"/>
    <col min="13078" max="13324" width="9" style="18"/>
    <col min="13325" max="13325" width="9.86328125" style="18" customWidth="1"/>
    <col min="13326" max="13326" width="2" style="18" customWidth="1"/>
    <col min="13327" max="13327" width="12.53125" style="18" customWidth="1"/>
    <col min="13328" max="13328" width="1.86328125" style="18" customWidth="1"/>
    <col min="13329" max="13329" width="2" style="18" customWidth="1"/>
    <col min="13330" max="13330" width="16" style="18" customWidth="1"/>
    <col min="13331" max="13331" width="26" style="18" customWidth="1"/>
    <col min="13332" max="13332" width="9" style="18"/>
    <col min="13333" max="13333" width="9" style="18" customWidth="1"/>
    <col min="13334" max="13580" width="9" style="18"/>
    <col min="13581" max="13581" width="9.86328125" style="18" customWidth="1"/>
    <col min="13582" max="13582" width="2" style="18" customWidth="1"/>
    <col min="13583" max="13583" width="12.53125" style="18" customWidth="1"/>
    <col min="13584" max="13584" width="1.86328125" style="18" customWidth="1"/>
    <col min="13585" max="13585" width="2" style="18" customWidth="1"/>
    <col min="13586" max="13586" width="16" style="18" customWidth="1"/>
    <col min="13587" max="13587" width="26" style="18" customWidth="1"/>
    <col min="13588" max="13588" width="9" style="18"/>
    <col min="13589" max="13589" width="9" style="18" customWidth="1"/>
    <col min="13590" max="13836" width="9" style="18"/>
    <col min="13837" max="13837" width="9.86328125" style="18" customWidth="1"/>
    <col min="13838" max="13838" width="2" style="18" customWidth="1"/>
    <col min="13839" max="13839" width="12.53125" style="18" customWidth="1"/>
    <col min="13840" max="13840" width="1.86328125" style="18" customWidth="1"/>
    <col min="13841" max="13841" width="2" style="18" customWidth="1"/>
    <col min="13842" max="13842" width="16" style="18" customWidth="1"/>
    <col min="13843" max="13843" width="26" style="18" customWidth="1"/>
    <col min="13844" max="13844" width="9" style="18"/>
    <col min="13845" max="13845" width="9" style="18" customWidth="1"/>
    <col min="13846" max="14092" width="9" style="18"/>
    <col min="14093" max="14093" width="9.86328125" style="18" customWidth="1"/>
    <col min="14094" max="14094" width="2" style="18" customWidth="1"/>
    <col min="14095" max="14095" width="12.53125" style="18" customWidth="1"/>
    <col min="14096" max="14096" width="1.86328125" style="18" customWidth="1"/>
    <col min="14097" max="14097" width="2" style="18" customWidth="1"/>
    <col min="14098" max="14098" width="16" style="18" customWidth="1"/>
    <col min="14099" max="14099" width="26" style="18" customWidth="1"/>
    <col min="14100" max="14100" width="9" style="18"/>
    <col min="14101" max="14101" width="9" style="18" customWidth="1"/>
    <col min="14102" max="14348" width="9" style="18"/>
    <col min="14349" max="14349" width="9.86328125" style="18" customWidth="1"/>
    <col min="14350" max="14350" width="2" style="18" customWidth="1"/>
    <col min="14351" max="14351" width="12.53125" style="18" customWidth="1"/>
    <col min="14352" max="14352" width="1.86328125" style="18" customWidth="1"/>
    <col min="14353" max="14353" width="2" style="18" customWidth="1"/>
    <col min="14354" max="14354" width="16" style="18" customWidth="1"/>
    <col min="14355" max="14355" width="26" style="18" customWidth="1"/>
    <col min="14356" max="14356" width="9" style="18"/>
    <col min="14357" max="14357" width="9" style="18" customWidth="1"/>
    <col min="14358" max="14604" width="9" style="18"/>
    <col min="14605" max="14605" width="9.86328125" style="18" customWidth="1"/>
    <col min="14606" max="14606" width="2" style="18" customWidth="1"/>
    <col min="14607" max="14607" width="12.53125" style="18" customWidth="1"/>
    <col min="14608" max="14608" width="1.86328125" style="18" customWidth="1"/>
    <col min="14609" max="14609" width="2" style="18" customWidth="1"/>
    <col min="14610" max="14610" width="16" style="18" customWidth="1"/>
    <col min="14611" max="14611" width="26" style="18" customWidth="1"/>
    <col min="14612" max="14612" width="9" style="18"/>
    <col min="14613" max="14613" width="9" style="18" customWidth="1"/>
    <col min="14614" max="14860" width="9" style="18"/>
    <col min="14861" max="14861" width="9.86328125" style="18" customWidth="1"/>
    <col min="14862" max="14862" width="2" style="18" customWidth="1"/>
    <col min="14863" max="14863" width="12.53125" style="18" customWidth="1"/>
    <col min="14864" max="14864" width="1.86328125" style="18" customWidth="1"/>
    <col min="14865" max="14865" width="2" style="18" customWidth="1"/>
    <col min="14866" max="14866" width="16" style="18" customWidth="1"/>
    <col min="14867" max="14867" width="26" style="18" customWidth="1"/>
    <col min="14868" max="14868" width="9" style="18"/>
    <col min="14869" max="14869" width="9" style="18" customWidth="1"/>
    <col min="14870" max="15116" width="9" style="18"/>
    <col min="15117" max="15117" width="9.86328125" style="18" customWidth="1"/>
    <col min="15118" max="15118" width="2" style="18" customWidth="1"/>
    <col min="15119" max="15119" width="12.53125" style="18" customWidth="1"/>
    <col min="15120" max="15120" width="1.86328125" style="18" customWidth="1"/>
    <col min="15121" max="15121" width="2" style="18" customWidth="1"/>
    <col min="15122" max="15122" width="16" style="18" customWidth="1"/>
    <col min="15123" max="15123" width="26" style="18" customWidth="1"/>
    <col min="15124" max="15124" width="9" style="18"/>
    <col min="15125" max="15125" width="9" style="18" customWidth="1"/>
    <col min="15126" max="15372" width="9" style="18"/>
    <col min="15373" max="15373" width="9.86328125" style="18" customWidth="1"/>
    <col min="15374" max="15374" width="2" style="18" customWidth="1"/>
    <col min="15375" max="15375" width="12.53125" style="18" customWidth="1"/>
    <col min="15376" max="15376" width="1.86328125" style="18" customWidth="1"/>
    <col min="15377" max="15377" width="2" style="18" customWidth="1"/>
    <col min="15378" max="15378" width="16" style="18" customWidth="1"/>
    <col min="15379" max="15379" width="26" style="18" customWidth="1"/>
    <col min="15380" max="15380" width="9" style="18"/>
    <col min="15381" max="15381" width="9" style="18" customWidth="1"/>
    <col min="15382" max="15628" width="9" style="18"/>
    <col min="15629" max="15629" width="9.86328125" style="18" customWidth="1"/>
    <col min="15630" max="15630" width="2" style="18" customWidth="1"/>
    <col min="15631" max="15631" width="12.53125" style="18" customWidth="1"/>
    <col min="15632" max="15632" width="1.86328125" style="18" customWidth="1"/>
    <col min="15633" max="15633" width="2" style="18" customWidth="1"/>
    <col min="15634" max="15634" width="16" style="18" customWidth="1"/>
    <col min="15635" max="15635" width="26" style="18" customWidth="1"/>
    <col min="15636" max="15636" width="9" style="18"/>
    <col min="15637" max="15637" width="9" style="18" customWidth="1"/>
    <col min="15638" max="15884" width="9" style="18"/>
    <col min="15885" max="15885" width="9.86328125" style="18" customWidth="1"/>
    <col min="15886" max="15886" width="2" style="18" customWidth="1"/>
    <col min="15887" max="15887" width="12.53125" style="18" customWidth="1"/>
    <col min="15888" max="15888" width="1.86328125" style="18" customWidth="1"/>
    <col min="15889" max="15889" width="2" style="18" customWidth="1"/>
    <col min="15890" max="15890" width="16" style="18" customWidth="1"/>
    <col min="15891" max="15891" width="26" style="18" customWidth="1"/>
    <col min="15892" max="15892" width="9" style="18"/>
    <col min="15893" max="15893" width="9" style="18" customWidth="1"/>
    <col min="15894" max="16140" width="9" style="18"/>
    <col min="16141" max="16141" width="9.86328125" style="18" customWidth="1"/>
    <col min="16142" max="16142" width="2" style="18" customWidth="1"/>
    <col min="16143" max="16143" width="12.53125" style="18" customWidth="1"/>
    <col min="16144" max="16144" width="1.86328125" style="18" customWidth="1"/>
    <col min="16145" max="16145" width="2" style="18" customWidth="1"/>
    <col min="16146" max="16146" width="16" style="18" customWidth="1"/>
    <col min="16147" max="16147" width="26" style="18" customWidth="1"/>
    <col min="16148" max="16148" width="9" style="18"/>
    <col min="16149" max="16149" width="9" style="18" customWidth="1"/>
    <col min="16150" max="16384" width="9" style="18"/>
  </cols>
  <sheetData>
    <row r="1" spans="1:23">
      <c r="D1" s="160" t="s">
        <v>845</v>
      </c>
      <c r="Q1" s="160" t="s">
        <v>846</v>
      </c>
    </row>
    <row r="2" spans="1:23" ht="17.25">
      <c r="D2" s="866" t="str">
        <f>UPPER(opd_pem)</f>
        <v>PEMERINTAH PROVINSI NUSA TENGGARA BARAT</v>
      </c>
      <c r="E2" s="866"/>
      <c r="F2" s="866"/>
      <c r="G2" s="866"/>
      <c r="H2" s="866"/>
      <c r="I2" s="866"/>
      <c r="J2" s="866"/>
      <c r="K2" s="866"/>
      <c r="L2" s="57"/>
      <c r="M2" s="57"/>
      <c r="Q2" s="866" t="str">
        <f>opd_lok</f>
        <v>Provinsi Nusa Tenggara Barat</v>
      </c>
      <c r="R2" s="866"/>
      <c r="S2" s="866"/>
      <c r="T2" s="866"/>
      <c r="U2" s="866"/>
    </row>
    <row r="3" spans="1:23" ht="47.1" customHeight="1">
      <c r="D3" s="1016" t="str">
        <f>UPPER(opd_nama)</f>
        <v>BADAN PENGELOLAAN KEUANGAN DAN ASET DAERAH</v>
      </c>
      <c r="E3" s="1016"/>
      <c r="F3" s="1016"/>
      <c r="G3" s="1016"/>
      <c r="H3" s="1016"/>
      <c r="I3" s="1016"/>
      <c r="J3" s="1016"/>
      <c r="K3" s="1016"/>
      <c r="L3" s="22"/>
      <c r="M3" s="22"/>
      <c r="Q3" s="867" t="str">
        <f>opd_nama</f>
        <v>Badan Pengelolaan Keuangan dan Aset Daerah</v>
      </c>
      <c r="R3" s="867"/>
      <c r="S3" s="867"/>
      <c r="T3" s="867"/>
      <c r="U3" s="867"/>
    </row>
    <row r="4" spans="1:23" ht="17.850000000000001" customHeight="1">
      <c r="A4" s="24"/>
      <c r="B4" s="24"/>
      <c r="C4" s="24"/>
      <c r="D4" s="868" t="str">
        <f>opd_almt</f>
        <v>Jalan Pejanggik Nomor 14 Telp.( 0370 ) 627689, 625345 Fax: 627677</v>
      </c>
      <c r="E4" s="868"/>
      <c r="F4" s="868"/>
      <c r="G4" s="868"/>
      <c r="H4" s="868"/>
      <c r="I4" s="868"/>
      <c r="J4" s="868"/>
      <c r="K4" s="868"/>
      <c r="L4" s="25"/>
      <c r="M4" s="25"/>
      <c r="N4" s="24"/>
      <c r="O4" s="24"/>
      <c r="P4" s="24"/>
      <c r="Q4" s="868" t="str">
        <f>opd_almt</f>
        <v>Jalan Pejanggik Nomor 14 Telp.( 0370 ) 627689, 625345 Fax: 627677</v>
      </c>
      <c r="R4" s="868"/>
      <c r="S4" s="868"/>
      <c r="T4" s="868"/>
      <c r="U4" s="868"/>
    </row>
    <row r="5" spans="1:23" ht="5.25" customHeight="1"/>
    <row r="6" spans="1:23" ht="15" customHeight="1">
      <c r="A6" s="27"/>
      <c r="B6" s="27"/>
      <c r="C6" s="27"/>
      <c r="D6" s="27"/>
      <c r="E6" s="27"/>
      <c r="F6" s="27"/>
      <c r="G6" s="27"/>
      <c r="H6" s="27"/>
      <c r="I6" s="27"/>
      <c r="J6" s="27"/>
      <c r="K6" s="72" t="str">
        <f>ppk_lok&amp;", "&amp;TEXT(Input!$F$76,"[$-421]d mmmm yyyy")</f>
        <v>Mataram, 6 Oktober 2025</v>
      </c>
      <c r="L6" s="72"/>
      <c r="M6" s="72"/>
      <c r="N6" s="27"/>
      <c r="O6" s="27"/>
      <c r="P6" s="27"/>
      <c r="Q6" s="27"/>
      <c r="R6" s="27"/>
      <c r="S6" s="27"/>
      <c r="T6" s="27"/>
      <c r="U6" s="72" t="str">
        <f>ppk_lok&amp;", "&amp;TEXT(Input!$F$76,"[$-421]d mmmm yyyy")</f>
        <v>Mataram, 6 Oktober 2025</v>
      </c>
    </row>
    <row r="7" spans="1:23" ht="15" customHeight="1">
      <c r="A7" s="60" t="s">
        <v>237</v>
      </c>
      <c r="B7" s="60"/>
      <c r="C7" s="60" t="s">
        <v>2</v>
      </c>
      <c r="D7" s="60" t="str">
        <f>Input!$D$76</f>
        <v>027.1/01.PPK/BPKAD/2025</v>
      </c>
      <c r="E7" s="60"/>
      <c r="F7" s="60"/>
      <c r="G7" s="60"/>
      <c r="H7" s="60"/>
      <c r="I7" s="60"/>
      <c r="J7" s="60"/>
      <c r="K7" s="60"/>
      <c r="L7" s="71" t="s">
        <v>253</v>
      </c>
      <c r="M7" s="60"/>
      <c r="N7" s="60" t="s">
        <v>237</v>
      </c>
      <c r="O7" s="60"/>
      <c r="P7" s="60" t="s">
        <v>2</v>
      </c>
      <c r="Q7" s="60" t="str">
        <f>Input!$D$76</f>
        <v>027.1/01.PPK/BPKAD/2025</v>
      </c>
      <c r="R7" s="60"/>
      <c r="S7" s="60"/>
      <c r="T7" s="60"/>
      <c r="U7" s="60"/>
    </row>
    <row r="8" spans="1:23" ht="15" customHeight="1">
      <c r="A8" s="37" t="s">
        <v>267</v>
      </c>
      <c r="B8" s="37"/>
      <c r="C8" s="37" t="s">
        <v>2</v>
      </c>
      <c r="D8" s="796" t="s">
        <v>847</v>
      </c>
      <c r="E8" s="37"/>
      <c r="F8" s="37"/>
      <c r="G8" s="37"/>
      <c r="H8" s="37"/>
      <c r="I8" s="37"/>
      <c r="J8" s="37"/>
      <c r="K8" s="37"/>
      <c r="L8" s="37"/>
      <c r="M8" s="37"/>
      <c r="N8" s="37" t="s">
        <v>267</v>
      </c>
      <c r="O8" s="37"/>
      <c r="P8" s="37" t="s">
        <v>2</v>
      </c>
      <c r="Q8" s="796" t="s">
        <v>847</v>
      </c>
      <c r="R8" s="37"/>
      <c r="S8" s="37"/>
      <c r="T8" s="37"/>
      <c r="U8" s="37"/>
    </row>
    <row r="9" spans="1:23" ht="15" customHeight="1">
      <c r="A9" s="60" t="s">
        <v>848</v>
      </c>
      <c r="B9" s="60"/>
      <c r="C9" s="60"/>
      <c r="D9" s="60"/>
      <c r="E9" s="60"/>
      <c r="F9" s="60"/>
      <c r="G9" s="60"/>
      <c r="H9" s="60"/>
      <c r="I9" s="60"/>
      <c r="J9" s="60"/>
      <c r="K9" s="60"/>
      <c r="L9" s="60"/>
      <c r="M9" s="60"/>
      <c r="N9" s="60" t="s">
        <v>848</v>
      </c>
      <c r="O9" s="60"/>
      <c r="P9" s="60"/>
      <c r="Q9" s="60"/>
      <c r="R9" s="60"/>
      <c r="S9" s="60"/>
      <c r="T9" s="60"/>
      <c r="U9" s="60"/>
    </row>
    <row r="10" spans="1:23" ht="15" customHeight="1">
      <c r="A10" s="1017" t="str">
        <f>pokja&amp;" Pada "&amp;ukpbj</f>
        <v>Pejabat Pengadaan Pada Badan Pengelolaan Keuangan dan Aset Daerah</v>
      </c>
      <c r="B10" s="1017"/>
      <c r="C10" s="1017"/>
      <c r="D10" s="1017"/>
      <c r="E10" s="1017"/>
      <c r="F10" s="1017"/>
      <c r="G10" s="1017"/>
      <c r="H10" s="1017"/>
      <c r="I10" s="1017"/>
      <c r="J10" s="1017"/>
      <c r="K10" s="1017"/>
      <c r="L10" s="158"/>
      <c r="M10" s="158"/>
      <c r="N10" s="1017" t="str">
        <f>pokja&amp;" Pada "&amp;ukpbj</f>
        <v>Pejabat Pengadaan Pada Badan Pengelolaan Keuangan dan Aset Daerah</v>
      </c>
      <c r="O10" s="1017"/>
      <c r="P10" s="1017"/>
      <c r="Q10" s="1017"/>
      <c r="R10" s="1017"/>
      <c r="S10" s="1017"/>
      <c r="T10" s="1017"/>
      <c r="U10" s="1017"/>
      <c r="V10" s="37"/>
      <c r="W10" s="37"/>
    </row>
    <row r="11" spans="1:23" ht="15" customHeight="1">
      <c r="A11" s="60" t="s">
        <v>849</v>
      </c>
      <c r="B11" s="60"/>
      <c r="C11" s="60"/>
      <c r="D11" s="60"/>
      <c r="E11" s="60"/>
      <c r="F11" s="60"/>
      <c r="G11" s="60"/>
      <c r="H11" s="60"/>
      <c r="I11" s="60"/>
      <c r="J11" s="60"/>
      <c r="K11" s="60"/>
      <c r="L11" s="60"/>
      <c r="M11" s="60"/>
      <c r="N11" s="60" t="s">
        <v>849</v>
      </c>
      <c r="O11" s="60"/>
      <c r="P11" s="60"/>
      <c r="Q11" s="60"/>
      <c r="R11" s="60"/>
      <c r="S11" s="60"/>
      <c r="T11" s="60"/>
      <c r="U11" s="60"/>
    </row>
    <row r="12" spans="1:23" ht="15" customHeight="1">
      <c r="A12" s="60"/>
      <c r="B12" s="60" t="str">
        <f>pp_lok</f>
        <v>Mataram</v>
      </c>
      <c r="C12" s="60"/>
      <c r="E12" s="60"/>
      <c r="F12" s="60"/>
      <c r="G12" s="60"/>
      <c r="H12" s="60"/>
      <c r="I12" s="60"/>
      <c r="J12" s="60"/>
      <c r="K12" s="60"/>
      <c r="L12" s="60"/>
      <c r="M12" s="60"/>
      <c r="N12" s="60"/>
      <c r="O12" s="60" t="str">
        <f>pp_lok</f>
        <v>Mataram</v>
      </c>
      <c r="P12" s="60"/>
      <c r="R12" s="60"/>
      <c r="S12" s="60"/>
      <c r="T12" s="60"/>
      <c r="U12" s="60"/>
    </row>
    <row r="13" spans="1:23" ht="15" customHeight="1">
      <c r="A13" s="60"/>
      <c r="B13" s="60"/>
      <c r="C13" s="60"/>
      <c r="D13" s="60"/>
      <c r="E13" s="60"/>
      <c r="F13" s="60"/>
      <c r="G13" s="60"/>
      <c r="H13" s="60"/>
      <c r="I13" s="60"/>
      <c r="J13" s="60"/>
      <c r="K13" s="60"/>
      <c r="L13" s="60"/>
      <c r="M13" s="60"/>
      <c r="N13" s="60"/>
      <c r="O13" s="60"/>
      <c r="P13" s="60"/>
      <c r="Q13" s="60"/>
      <c r="R13" s="60"/>
      <c r="S13" s="60"/>
      <c r="T13" s="60"/>
      <c r="U13" s="60"/>
    </row>
    <row r="14" spans="1:23" ht="15" customHeight="1">
      <c r="A14" s="60" t="s">
        <v>269</v>
      </c>
      <c r="B14" s="60"/>
      <c r="C14" s="60" t="s">
        <v>2</v>
      </c>
      <c r="D14" s="1018" t="str">
        <f>met_pil&amp;" Paket "&amp;paket</f>
        <v>Pengadaan Langsung Paket Belanja Pemeliharaan Bangunan Gedung-Bangunan Gedung Tempat Kerja-Bangunan Gedung Kantor-Pemeliharaan Gedung Bertingkat</v>
      </c>
      <c r="E14" s="1018"/>
      <c r="F14" s="1018"/>
      <c r="G14" s="1018"/>
      <c r="H14" s="1018"/>
      <c r="I14" s="1018"/>
      <c r="J14" s="1018"/>
      <c r="K14" s="1018"/>
      <c r="L14" s="527"/>
      <c r="M14" s="527"/>
      <c r="N14" s="60" t="s">
        <v>269</v>
      </c>
      <c r="O14" s="60"/>
      <c r="P14" s="60" t="s">
        <v>2</v>
      </c>
      <c r="Q14" s="1018" t="str">
        <f>met_pil&amp;" Paket "&amp;paket</f>
        <v>Pengadaan Langsung Paket Belanja Pemeliharaan Bangunan Gedung-Bangunan Gedung Tempat Kerja-Bangunan Gedung Kantor-Pemeliharaan Gedung Bertingkat</v>
      </c>
      <c r="R14" s="1018"/>
      <c r="S14" s="1018"/>
      <c r="T14" s="1018"/>
      <c r="U14" s="1018"/>
    </row>
    <row r="15" spans="1:23" ht="15" customHeight="1"/>
    <row r="16" spans="1:23" ht="15" customHeight="1">
      <c r="D16" s="1021" t="str">
        <f>"Sehubungan dengan rencana pelaksanaan "&amp;$D$14&amp;", untuk itu diminta kepada Saudara agar melaksanakan proses "&amp;met_pil&amp;" berdasarkan "&amp;aturan&amp;" terhadap calon Penyedia Barang/Jasa sesuai dengan kualifikasi yang diatur dalam peraturan perundang-undangan yang berlaku."</f>
        <v>Sehubungan dengan rencana pelaksanaan Pengadaan Langsung Paket Belanja Pemeliharaan Bangunan Gedung-Bangunan Gedung Tempat Kerja-Bangunan Gedung Kantor-Pemeliharaan Gedung Bertingkat, untuk itu diminta kepada Saudara agar melaksanakan proses Pengadaan Langsung berdasarkan Peraturan Presiden Republik Indonesia Nomor 46 Tahun 2025 beserta perubahan dan petunjuk teknisnya. terhadap calon Penyedia Barang/Jasa sesuai dengan kualifikasi yang diatur dalam peraturan perundang-undangan yang berlaku.</v>
      </c>
      <c r="E16" s="1021"/>
      <c r="F16" s="1021"/>
      <c r="G16" s="1021"/>
      <c r="H16" s="1021"/>
      <c r="I16" s="1021"/>
      <c r="J16" s="1021"/>
      <c r="K16" s="1021"/>
      <c r="Q16" s="1021" t="str">
        <f>"Menindaklanjuti "&amp;dana&amp;" "&amp;opd_nama&amp;" Tahun Anggaran "&amp;tahun&amp;", mohon agar "&amp;pokja&amp;" dapat segera melaksanakan proses "&amp;met_pil&amp;" sesuai peraturan perundang-undangan yang berlaku untuk paket-paket pekerjaan sebagai berikut:"</f>
        <v>Menindaklanjuti DPA Badan Pengelolaan Keuangan dan Aset Daerah Tahun Anggaran 2025, mohon agar Pejabat Pengadaan dapat segera melaksanakan proses Pengadaan Langsung sesuai peraturan perundang-undangan yang berlaku untuk paket-paket pekerjaan sebagai berikut:</v>
      </c>
      <c r="R16" s="1021"/>
      <c r="S16" s="1021"/>
      <c r="T16" s="1021"/>
      <c r="U16" s="1021"/>
    </row>
    <row r="17" spans="1:22" ht="15" customHeight="1">
      <c r="D17" s="1021"/>
      <c r="E17" s="1021"/>
      <c r="F17" s="1021"/>
      <c r="G17" s="1021"/>
      <c r="H17" s="1021"/>
      <c r="I17" s="1021"/>
      <c r="J17" s="1021"/>
      <c r="K17" s="1021"/>
      <c r="Q17" s="1021"/>
      <c r="R17" s="1021"/>
      <c r="S17" s="1021"/>
      <c r="T17" s="1021"/>
      <c r="U17" s="1021"/>
    </row>
    <row r="18" spans="1:22" ht="15" customHeight="1">
      <c r="D18" s="1021"/>
      <c r="E18" s="1021"/>
      <c r="F18" s="1021"/>
      <c r="G18" s="1021"/>
      <c r="H18" s="1021"/>
      <c r="I18" s="1021"/>
      <c r="J18" s="1021"/>
      <c r="K18" s="1021"/>
      <c r="Q18" s="1021"/>
      <c r="R18" s="1021"/>
      <c r="S18" s="1021"/>
      <c r="T18" s="1021"/>
      <c r="U18" s="1021"/>
    </row>
    <row r="19" spans="1:22" ht="15" customHeight="1">
      <c r="D19" s="1021"/>
      <c r="E19" s="1021"/>
      <c r="F19" s="1021"/>
      <c r="G19" s="1021"/>
      <c r="H19" s="1021"/>
      <c r="I19" s="1021"/>
      <c r="J19" s="1021"/>
      <c r="K19" s="1021"/>
      <c r="Q19" s="1030" t="s">
        <v>258</v>
      </c>
      <c r="R19" s="1030" t="s">
        <v>850</v>
      </c>
      <c r="S19" s="1032" t="s">
        <v>851</v>
      </c>
      <c r="T19" s="1024" t="s">
        <v>852</v>
      </c>
      <c r="U19" s="1025"/>
    </row>
    <row r="20" spans="1:22" ht="29.45" customHeight="1">
      <c r="D20" s="1021"/>
      <c r="E20" s="1021"/>
      <c r="F20" s="1021"/>
      <c r="G20" s="1021"/>
      <c r="H20" s="1021"/>
      <c r="I20" s="1021"/>
      <c r="J20" s="1021"/>
      <c r="K20" s="1021"/>
      <c r="Q20" s="1031"/>
      <c r="R20" s="1031"/>
      <c r="S20" s="1033"/>
      <c r="T20" s="1026"/>
      <c r="U20" s="1027"/>
    </row>
    <row r="21" spans="1:22" ht="15" customHeight="1">
      <c r="C21" s="43"/>
      <c r="D21" s="43"/>
      <c r="H21" s="44"/>
      <c r="I21" s="44"/>
      <c r="J21" s="53"/>
      <c r="K21" s="53"/>
      <c r="L21" s="53"/>
      <c r="Q21" s="528">
        <v>1</v>
      </c>
      <c r="R21" s="529" t="str">
        <f>PA.Srt1!G22</f>
        <v>Belanja Modal Instalasi Jaringan Internet</v>
      </c>
      <c r="S21" s="530">
        <f>hps</f>
        <v>69862000</v>
      </c>
      <c r="T21" s="1019"/>
      <c r="U21" s="1020"/>
    </row>
    <row r="22" spans="1:22" ht="15" customHeight="1">
      <c r="C22" s="64"/>
      <c r="D22" s="1021" t="s">
        <v>853</v>
      </c>
      <c r="E22" s="1021"/>
      <c r="F22" s="1021"/>
      <c r="G22" s="1021"/>
      <c r="H22" s="1021"/>
      <c r="I22" s="1021"/>
      <c r="J22" s="1021"/>
      <c r="K22" s="1021"/>
      <c r="M22" s="53"/>
      <c r="Q22" s="531" t="str">
        <f t="shared" ref="Q22:Q25" si="0">IF(AND(Q21&lt;&gt;"",R22&lt;&gt;0),Q21+1,"")</f>
        <v/>
      </c>
      <c r="R22" s="532">
        <f>PA.Srt1!G23</f>
        <v>0</v>
      </c>
      <c r="S22" s="533"/>
      <c r="T22" s="1022"/>
      <c r="U22" s="1023"/>
    </row>
    <row r="23" spans="1:22" ht="15" customHeight="1">
      <c r="A23" s="64"/>
      <c r="B23" s="64"/>
      <c r="C23" s="64"/>
      <c r="D23" s="1021"/>
      <c r="E23" s="1021"/>
      <c r="F23" s="1021"/>
      <c r="G23" s="1021"/>
      <c r="H23" s="1021"/>
      <c r="I23" s="1021"/>
      <c r="J23" s="1021"/>
      <c r="K23" s="1021"/>
      <c r="Q23" s="531" t="str">
        <f t="shared" si="0"/>
        <v/>
      </c>
      <c r="R23" s="532">
        <f>PA.Srt1!G24</f>
        <v>0</v>
      </c>
      <c r="S23" s="533"/>
      <c r="T23" s="1022"/>
      <c r="U23" s="1023"/>
    </row>
    <row r="24" spans="1:22" ht="15" customHeight="1">
      <c r="C24" s="43"/>
      <c r="D24" s="43"/>
      <c r="H24" s="44"/>
      <c r="I24" s="44"/>
      <c r="J24" s="53"/>
      <c r="K24" s="53"/>
      <c r="L24" s="53"/>
      <c r="Q24" s="531" t="str">
        <f t="shared" si="0"/>
        <v/>
      </c>
      <c r="R24" s="532">
        <f>PA.Srt1!G25</f>
        <v>0</v>
      </c>
      <c r="S24" s="533"/>
      <c r="T24" s="1022"/>
      <c r="U24" s="1023"/>
    </row>
    <row r="25" spans="1:22" ht="15" customHeight="1">
      <c r="C25" s="38"/>
      <c r="D25" s="37" t="s">
        <v>854</v>
      </c>
      <c r="E25" s="37"/>
      <c r="F25" s="37"/>
      <c r="G25" s="37"/>
      <c r="H25" s="37"/>
      <c r="I25" s="37"/>
      <c r="J25" s="37"/>
      <c r="K25" s="37"/>
      <c r="L25" s="37"/>
      <c r="M25" s="53"/>
      <c r="Q25" s="531" t="str">
        <f t="shared" si="0"/>
        <v/>
      </c>
      <c r="R25" s="532">
        <f>PA.Srt1!G26</f>
        <v>0</v>
      </c>
      <c r="S25" s="533"/>
      <c r="T25" s="1022"/>
      <c r="U25" s="1023"/>
    </row>
    <row r="26" spans="1:22" ht="15" customHeight="1">
      <c r="C26" s="43"/>
      <c r="D26" s="43"/>
      <c r="H26" s="54"/>
      <c r="I26" s="54"/>
      <c r="J26" s="53"/>
      <c r="K26" s="53"/>
      <c r="L26" s="53"/>
      <c r="M26" s="37"/>
      <c r="Q26" s="531" t="str">
        <f t="shared" ref="Q26:Q40" si="1">IF(AND(Q25&lt;&gt;"",R26&lt;&gt;0),Q25+1,"")</f>
        <v/>
      </c>
      <c r="R26" s="532">
        <f>PA.Srt1!G27</f>
        <v>0</v>
      </c>
      <c r="S26" s="533"/>
      <c r="T26" s="1022"/>
      <c r="U26" s="1023"/>
    </row>
    <row r="27" spans="1:22" ht="15" customHeight="1">
      <c r="C27" s="43"/>
      <c r="D27" s="43"/>
      <c r="I27" s="67" t="str">
        <f>ppk_jab</f>
        <v>Pejabat Pembuat Komitmen</v>
      </c>
      <c r="J27" s="67"/>
      <c r="K27" s="53"/>
      <c r="L27" s="53"/>
      <c r="M27" s="53"/>
      <c r="Q27" s="531" t="str">
        <f t="shared" si="1"/>
        <v/>
      </c>
      <c r="R27" s="532">
        <f>PA.Srt1!G28</f>
        <v>0</v>
      </c>
      <c r="S27" s="533"/>
      <c r="T27" s="1022"/>
      <c r="U27" s="1023"/>
      <c r="V27" s="53"/>
    </row>
    <row r="28" spans="1:22" ht="15" customHeight="1">
      <c r="C28" s="43"/>
      <c r="D28" s="43"/>
      <c r="I28" s="54"/>
      <c r="J28" s="54"/>
      <c r="K28" s="53"/>
      <c r="L28" s="53"/>
      <c r="M28" s="53"/>
      <c r="Q28" s="531" t="str">
        <f t="shared" si="1"/>
        <v/>
      </c>
      <c r="R28" s="532">
        <f>PA.Srt1!G29</f>
        <v>0</v>
      </c>
      <c r="S28" s="533"/>
      <c r="T28" s="1022"/>
      <c r="U28" s="1023"/>
      <c r="V28" s="53"/>
    </row>
    <row r="29" spans="1:22" ht="15" customHeight="1">
      <c r="C29" s="43"/>
      <c r="D29" s="43"/>
      <c r="I29" s="44"/>
      <c r="J29" s="44"/>
      <c r="K29" s="53"/>
      <c r="L29" s="53"/>
      <c r="M29" s="53"/>
      <c r="Q29" s="531" t="str">
        <f t="shared" si="1"/>
        <v/>
      </c>
      <c r="R29" s="532">
        <f>PA.Srt1!G30</f>
        <v>0</v>
      </c>
      <c r="S29" s="533"/>
      <c r="T29" s="1022"/>
      <c r="U29" s="1023"/>
      <c r="V29" s="53"/>
    </row>
    <row r="30" spans="1:22" ht="15" customHeight="1">
      <c r="C30" s="43"/>
      <c r="D30" s="43"/>
      <c r="I30" s="44"/>
      <c r="J30" s="44"/>
      <c r="K30" s="53"/>
      <c r="L30" s="53"/>
      <c r="M30" s="53"/>
      <c r="Q30" s="531" t="str">
        <f t="shared" si="1"/>
        <v/>
      </c>
      <c r="R30" s="532">
        <f>PA.Srt1!G31</f>
        <v>0</v>
      </c>
      <c r="S30" s="533"/>
      <c r="T30" s="1022"/>
      <c r="U30" s="1023"/>
      <c r="V30" s="53"/>
    </row>
    <row r="31" spans="1:22" ht="15" customHeight="1">
      <c r="C31" s="43"/>
      <c r="D31" s="43"/>
      <c r="I31" s="55" t="str">
        <f>ppk_nama</f>
        <v>Ika Kurnia Mustika, ST, MT</v>
      </c>
      <c r="J31" s="55"/>
      <c r="K31" s="53"/>
      <c r="L31" s="53"/>
      <c r="M31" s="53"/>
      <c r="Q31" s="531" t="str">
        <f t="shared" si="1"/>
        <v/>
      </c>
      <c r="R31" s="532">
        <f>PA.Srt1!G32</f>
        <v>0</v>
      </c>
      <c r="S31" s="533"/>
      <c r="T31" s="1022"/>
      <c r="U31" s="1023"/>
      <c r="V31" s="53"/>
    </row>
    <row r="32" spans="1:22" ht="15" customHeight="1">
      <c r="C32" s="43"/>
      <c r="D32" s="43"/>
      <c r="I32" s="44" t="str">
        <f>"NIP. "&amp;ppk_nip</f>
        <v>NIP. 19791117 200901 1 006</v>
      </c>
      <c r="J32" s="44"/>
      <c r="K32" s="53"/>
      <c r="L32" s="53"/>
      <c r="M32" s="53"/>
      <c r="Q32" s="531" t="str">
        <f t="shared" si="1"/>
        <v/>
      </c>
      <c r="R32" s="532">
        <f>PA.Srt1!G33</f>
        <v>0</v>
      </c>
      <c r="S32" s="533"/>
      <c r="T32" s="1022"/>
      <c r="U32" s="1023"/>
      <c r="V32" s="53"/>
    </row>
    <row r="33" spans="1:21" ht="15" customHeight="1">
      <c r="C33" s="43"/>
      <c r="D33" s="43"/>
      <c r="H33" s="44"/>
      <c r="I33" s="44"/>
      <c r="J33" s="53"/>
      <c r="K33" s="53"/>
      <c r="L33" s="53"/>
      <c r="M33" s="53"/>
      <c r="Q33" s="531" t="str">
        <f t="shared" si="1"/>
        <v/>
      </c>
      <c r="R33" s="532">
        <f>PA.Srt1!G34</f>
        <v>0</v>
      </c>
      <c r="S33" s="533"/>
      <c r="T33" s="1022"/>
      <c r="U33" s="1023"/>
    </row>
    <row r="34" spans="1:21" ht="15" customHeight="1">
      <c r="A34" s="37" t="s">
        <v>265</v>
      </c>
      <c r="B34" s="37"/>
      <c r="C34" s="38"/>
      <c r="D34" s="38"/>
      <c r="E34" s="37"/>
      <c r="F34" s="37"/>
      <c r="G34" s="37"/>
      <c r="H34" s="37"/>
      <c r="I34" s="37"/>
      <c r="J34" s="37"/>
      <c r="K34" s="37"/>
      <c r="L34" s="37"/>
      <c r="M34" s="53"/>
      <c r="Q34" s="531" t="str">
        <f t="shared" si="1"/>
        <v/>
      </c>
      <c r="R34" s="532">
        <f>PA.Srt1!G35</f>
        <v>0</v>
      </c>
      <c r="S34" s="533"/>
      <c r="T34" s="1022"/>
      <c r="U34" s="1023"/>
    </row>
    <row r="35" spans="1:21" ht="15" customHeight="1">
      <c r="A35" s="37" t="str">
        <f>"1. "&amp;pa_jab&amp;" di "&amp;pa_lok&amp;";"</f>
        <v>1. Kepala Badan Pengelolaan Keuangan dan Aset Daerah di Mataram;</v>
      </c>
      <c r="B35" s="37"/>
      <c r="C35" s="38"/>
      <c r="D35" s="38"/>
      <c r="E35" s="37"/>
      <c r="F35" s="37"/>
      <c r="G35" s="37"/>
      <c r="H35" s="39"/>
      <c r="I35" s="39"/>
      <c r="J35" s="37"/>
      <c r="K35" s="37"/>
      <c r="L35" s="37"/>
      <c r="M35" s="37"/>
      <c r="Q35" s="531" t="str">
        <f t="shared" si="1"/>
        <v/>
      </c>
      <c r="R35" s="532">
        <f>PA.Srt1!G36</f>
        <v>0</v>
      </c>
      <c r="S35" s="533"/>
      <c r="T35" s="1022"/>
      <c r="U35" s="1023"/>
    </row>
    <row r="36" spans="1:21" ht="15" customHeight="1">
      <c r="A36" s="37" t="s">
        <v>266</v>
      </c>
      <c r="B36" s="37"/>
      <c r="C36" s="38"/>
      <c r="D36" s="38"/>
      <c r="E36" s="37"/>
      <c r="F36" s="37"/>
      <c r="G36" s="37"/>
      <c r="H36" s="37"/>
      <c r="I36" s="37"/>
      <c r="J36" s="37"/>
      <c r="K36" s="37"/>
      <c r="L36" s="37"/>
      <c r="M36" s="37"/>
      <c r="Q36" s="531" t="str">
        <f t="shared" si="1"/>
        <v/>
      </c>
      <c r="R36" s="532">
        <f>PA.Srt1!G37</f>
        <v>0</v>
      </c>
      <c r="S36" s="533"/>
      <c r="T36" s="1022"/>
      <c r="U36" s="1023"/>
    </row>
    <row r="37" spans="1:21" ht="15" customHeight="1">
      <c r="A37" s="37"/>
      <c r="B37" s="37"/>
      <c r="C37" s="38"/>
      <c r="D37" s="38"/>
      <c r="E37" s="37"/>
      <c r="F37" s="37"/>
      <c r="G37" s="37"/>
      <c r="H37" s="37"/>
      <c r="I37" s="37"/>
      <c r="J37" s="37"/>
      <c r="K37" s="37"/>
      <c r="L37" s="37"/>
      <c r="M37" s="37"/>
      <c r="Q37" s="531" t="str">
        <f t="shared" si="1"/>
        <v/>
      </c>
      <c r="R37" s="532">
        <f>PA.Srt1!G38</f>
        <v>0</v>
      </c>
      <c r="S37" s="533"/>
      <c r="T37" s="1022"/>
      <c r="U37" s="1023"/>
    </row>
    <row r="38" spans="1:21" ht="15" customHeight="1">
      <c r="A38" s="37"/>
      <c r="B38" s="37"/>
      <c r="C38" s="38"/>
      <c r="D38" s="38"/>
      <c r="E38" s="37"/>
      <c r="F38" s="37"/>
      <c r="G38" s="37"/>
      <c r="H38" s="39"/>
      <c r="I38" s="39"/>
      <c r="J38" s="37"/>
      <c r="K38" s="37"/>
      <c r="L38" s="37"/>
      <c r="M38" s="37"/>
      <c r="Q38" s="531" t="str">
        <f t="shared" si="1"/>
        <v/>
      </c>
      <c r="R38" s="532">
        <f>PA.Srt1!G39</f>
        <v>0</v>
      </c>
      <c r="S38" s="533"/>
      <c r="T38" s="1022"/>
      <c r="U38" s="1023"/>
    </row>
    <row r="39" spans="1:21" ht="15" customHeight="1">
      <c r="A39" s="37"/>
      <c r="B39" s="37"/>
      <c r="C39" s="38"/>
      <c r="D39" s="38"/>
      <c r="E39" s="37"/>
      <c r="F39" s="37"/>
      <c r="G39" s="37"/>
      <c r="H39" s="37"/>
      <c r="I39" s="37"/>
      <c r="J39" s="37"/>
      <c r="K39" s="37"/>
      <c r="L39" s="37"/>
      <c r="M39" s="37"/>
      <c r="Q39" s="531" t="str">
        <f t="shared" si="1"/>
        <v/>
      </c>
      <c r="R39" s="532">
        <f>PA.Srt1!G40</f>
        <v>0</v>
      </c>
      <c r="S39" s="533"/>
      <c r="T39" s="1022"/>
      <c r="U39" s="1023"/>
    </row>
    <row r="40" spans="1:21">
      <c r="M40" s="37"/>
      <c r="Q40" s="534" t="str">
        <f t="shared" si="1"/>
        <v/>
      </c>
      <c r="R40" s="535">
        <f>PA.Srt1!G41</f>
        <v>0</v>
      </c>
      <c r="S40" s="536"/>
      <c r="T40" s="1028"/>
      <c r="U40" s="1029"/>
    </row>
    <row r="41" spans="1:21">
      <c r="P41" s="43"/>
      <c r="Q41" s="43"/>
      <c r="S41" s="44"/>
      <c r="T41" s="53"/>
      <c r="U41" s="53"/>
    </row>
    <row r="42" spans="1:21">
      <c r="P42" s="64"/>
      <c r="Q42" s="1021" t="s">
        <v>853</v>
      </c>
      <c r="R42" s="1021"/>
      <c r="S42" s="1021"/>
      <c r="T42" s="1021"/>
      <c r="U42" s="1021"/>
    </row>
    <row r="43" spans="1:21">
      <c r="N43" s="64"/>
      <c r="O43" s="64"/>
      <c r="P43" s="64"/>
      <c r="Q43" s="1021"/>
      <c r="R43" s="1021"/>
      <c r="S43" s="1021"/>
      <c r="T43" s="1021"/>
      <c r="U43" s="1021"/>
    </row>
    <row r="44" spans="1:21">
      <c r="P44" s="43"/>
      <c r="Q44" s="43"/>
      <c r="S44" s="44"/>
      <c r="T44" s="53"/>
      <c r="U44" s="53"/>
    </row>
    <row r="45" spans="1:21">
      <c r="P45" s="38"/>
      <c r="Q45" s="37" t="s">
        <v>854</v>
      </c>
      <c r="R45" s="37"/>
      <c r="S45" s="37"/>
      <c r="T45" s="37"/>
      <c r="U45" s="37"/>
    </row>
    <row r="46" spans="1:21">
      <c r="P46" s="43"/>
      <c r="Q46" s="43"/>
      <c r="S46" s="54"/>
      <c r="T46" s="53"/>
      <c r="U46" s="53"/>
    </row>
    <row r="47" spans="1:21">
      <c r="P47" s="43"/>
      <c r="Q47" s="43"/>
      <c r="S47" s="67" t="str">
        <f>ppk_jab</f>
        <v>Pejabat Pembuat Komitmen</v>
      </c>
      <c r="T47" s="67"/>
      <c r="U47" s="53"/>
    </row>
    <row r="48" spans="1:21">
      <c r="P48" s="43"/>
      <c r="Q48" s="43"/>
      <c r="S48" s="54"/>
      <c r="T48" s="54"/>
      <c r="U48" s="53"/>
    </row>
    <row r="49" spans="14:21">
      <c r="P49" s="43"/>
      <c r="Q49" s="43"/>
      <c r="S49" s="44"/>
      <c r="T49" s="44"/>
      <c r="U49" s="53"/>
    </row>
    <row r="50" spans="14:21">
      <c r="P50" s="43"/>
      <c r="Q50" s="43"/>
      <c r="S50" s="44"/>
      <c r="T50" s="44"/>
      <c r="U50" s="53"/>
    </row>
    <row r="51" spans="14:21">
      <c r="P51" s="43"/>
      <c r="Q51" s="43"/>
      <c r="S51" s="55" t="str">
        <f>ppk_nama</f>
        <v>Ika Kurnia Mustika, ST, MT</v>
      </c>
      <c r="T51" s="55"/>
      <c r="U51" s="53"/>
    </row>
    <row r="52" spans="14:21">
      <c r="P52" s="43"/>
      <c r="Q52" s="43"/>
      <c r="S52" s="44" t="str">
        <f>"NIP. "&amp;ppk_nip</f>
        <v>NIP. 19791117 200901 1 006</v>
      </c>
      <c r="T52" s="44"/>
      <c r="U52" s="53"/>
    </row>
    <row r="53" spans="14:21">
      <c r="P53" s="43"/>
      <c r="Q53" s="43"/>
      <c r="S53" s="44"/>
      <c r="T53" s="53"/>
      <c r="U53" s="53"/>
    </row>
    <row r="54" spans="14:21">
      <c r="N54" s="37" t="s">
        <v>265</v>
      </c>
      <c r="O54" s="37"/>
      <c r="P54" s="38"/>
      <c r="Q54" s="38"/>
      <c r="R54" s="37"/>
      <c r="S54" s="37"/>
      <c r="T54" s="37"/>
      <c r="U54" s="37"/>
    </row>
    <row r="55" spans="14:21">
      <c r="N55" s="37" t="str">
        <f>"1. "&amp;pa_jab&amp;" di "&amp;pa_lok&amp;";"</f>
        <v>1. Kepala Badan Pengelolaan Keuangan dan Aset Daerah di Mataram;</v>
      </c>
      <c r="O55" s="37"/>
      <c r="P55" s="38"/>
      <c r="Q55" s="38"/>
      <c r="R55" s="37"/>
      <c r="S55" s="39"/>
      <c r="T55" s="37"/>
      <c r="U55" s="37"/>
    </row>
    <row r="56" spans="14:21">
      <c r="N56" s="37" t="s">
        <v>266</v>
      </c>
      <c r="O56" s="37"/>
      <c r="P56" s="38"/>
      <c r="Q56" s="38"/>
      <c r="R56" s="37"/>
      <c r="S56" s="37"/>
      <c r="T56" s="37"/>
      <c r="U56" s="37"/>
    </row>
    <row r="57" spans="14:21">
      <c r="P57" s="43"/>
      <c r="Q57" s="43"/>
      <c r="S57" s="44"/>
      <c r="T57" s="53"/>
      <c r="U57" s="53"/>
    </row>
    <row r="58" spans="14:21">
      <c r="N58" s="37"/>
      <c r="O58" s="37"/>
      <c r="P58" s="38"/>
      <c r="Q58" s="38"/>
      <c r="R58" s="37"/>
      <c r="S58" s="37"/>
      <c r="T58" s="37"/>
      <c r="U58" s="37"/>
    </row>
    <row r="59" spans="14:21">
      <c r="N59" s="37"/>
      <c r="O59" s="37"/>
      <c r="P59" s="38"/>
      <c r="Q59" s="38"/>
      <c r="R59" s="37"/>
      <c r="S59" s="39"/>
      <c r="T59" s="37"/>
      <c r="U59" s="37"/>
    </row>
    <row r="60" spans="14:21">
      <c r="N60" s="37"/>
      <c r="O60" s="37"/>
      <c r="P60" s="38"/>
      <c r="Q60" s="38"/>
      <c r="R60" s="37"/>
      <c r="S60" s="37"/>
      <c r="T60" s="37"/>
      <c r="U60" s="37"/>
    </row>
  </sheetData>
  <mergeCells count="38">
    <mergeCell ref="Q42:U43"/>
    <mergeCell ref="D22:K23"/>
    <mergeCell ref="Q16:U18"/>
    <mergeCell ref="T19:U20"/>
    <mergeCell ref="T37:U37"/>
    <mergeCell ref="T38:U38"/>
    <mergeCell ref="T39:U39"/>
    <mergeCell ref="T40:U40"/>
    <mergeCell ref="Q19:Q20"/>
    <mergeCell ref="R19:R20"/>
    <mergeCell ref="S19:S20"/>
    <mergeCell ref="T32:U32"/>
    <mergeCell ref="T33:U33"/>
    <mergeCell ref="T34:U34"/>
    <mergeCell ref="T35:U35"/>
    <mergeCell ref="T36:U36"/>
    <mergeCell ref="T27:U27"/>
    <mergeCell ref="T28:U28"/>
    <mergeCell ref="T29:U29"/>
    <mergeCell ref="T30:U30"/>
    <mergeCell ref="T31:U31"/>
    <mergeCell ref="T22:U22"/>
    <mergeCell ref="T23:U23"/>
    <mergeCell ref="T24:U24"/>
    <mergeCell ref="T25:U25"/>
    <mergeCell ref="T26:U26"/>
    <mergeCell ref="A10:K10"/>
    <mergeCell ref="N10:U10"/>
    <mergeCell ref="D14:K14"/>
    <mergeCell ref="Q14:U14"/>
    <mergeCell ref="T21:U21"/>
    <mergeCell ref="D16:K20"/>
    <mergeCell ref="D2:K2"/>
    <mergeCell ref="Q2:U2"/>
    <mergeCell ref="D3:K3"/>
    <mergeCell ref="Q3:U3"/>
    <mergeCell ref="D4:K4"/>
    <mergeCell ref="Q4:U4"/>
  </mergeCells>
  <hyperlinks>
    <hyperlink ref="L7" location="Input!A72" display="balik ke input" xr:uid="{00000000-0004-0000-0800-000000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colBreaks count="1" manualBreakCount="1">
    <brk id="21" max="72"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T156"/>
  <sheetViews>
    <sheetView view="pageBreakPreview" topLeftCell="A74" zoomScale="115" zoomScaleNormal="85" workbookViewId="0">
      <selection activeCell="D84" sqref="D84"/>
    </sheetView>
  </sheetViews>
  <sheetFormatPr defaultColWidth="9.1328125" defaultRowHeight="15.75"/>
  <cols>
    <col min="1" max="1" width="4.19921875" style="400" customWidth="1"/>
    <col min="2" max="2" width="4.86328125" style="400" customWidth="1"/>
    <col min="3" max="3" width="1.53125" style="400" customWidth="1"/>
    <col min="4" max="4" width="28.1328125" style="401" customWidth="1"/>
    <col min="5" max="5" width="1.53125" style="401" customWidth="1"/>
    <col min="6" max="6" width="2.53125" style="401" customWidth="1"/>
    <col min="7" max="7" width="4" style="401" customWidth="1"/>
    <col min="8" max="8" width="4.53125" style="401" customWidth="1"/>
    <col min="9" max="13" width="2.53125" style="401" customWidth="1"/>
    <col min="14" max="14" width="3" style="401" customWidth="1"/>
    <col min="15" max="15" width="2.53125" style="401" customWidth="1"/>
    <col min="16" max="17" width="4" style="401" customWidth="1"/>
    <col min="18" max="18" width="15.6640625" style="401" customWidth="1"/>
    <col min="19" max="19" width="4.1328125" style="401" customWidth="1"/>
    <col min="20" max="20" width="18.33203125" style="401" customWidth="1"/>
    <col min="21" max="16384" width="9.1328125" style="401"/>
  </cols>
  <sheetData>
    <row r="1" spans="1:20" s="395" customFormat="1" ht="22.5" customHeight="1">
      <c r="A1" s="402"/>
      <c r="B1" s="402"/>
      <c r="C1" s="402"/>
      <c r="D1" s="1034" t="str">
        <f>UPPER(opd_pem)</f>
        <v>PEMERINTAH PROVINSI NUSA TENGGARA BARAT</v>
      </c>
      <c r="E1" s="1034"/>
      <c r="F1" s="1034"/>
      <c r="G1" s="1034"/>
      <c r="H1" s="1034"/>
      <c r="I1" s="1034"/>
      <c r="J1" s="1034"/>
      <c r="K1" s="1034"/>
      <c r="L1" s="1034"/>
      <c r="M1" s="1034"/>
      <c r="N1" s="1034"/>
      <c r="O1" s="1034"/>
      <c r="P1" s="1034"/>
      <c r="Q1" s="1034"/>
      <c r="R1" s="1034"/>
    </row>
    <row r="2" spans="1:20" s="395" customFormat="1" ht="38.25" customHeight="1">
      <c r="A2" s="402"/>
      <c r="B2" s="402"/>
      <c r="C2" s="402"/>
      <c r="D2" s="1035" t="str">
        <f>UPPER(ukpbj)</f>
        <v>BADAN PENGELOLAAN KEUANGAN DAN ASET DAERAH</v>
      </c>
      <c r="E2" s="1035"/>
      <c r="F2" s="1035"/>
      <c r="G2" s="1035"/>
      <c r="H2" s="1035"/>
      <c r="I2" s="1035"/>
      <c r="J2" s="1035"/>
      <c r="K2" s="1035"/>
      <c r="L2" s="1035"/>
      <c r="M2" s="1035"/>
      <c r="N2" s="1035"/>
      <c r="O2" s="1035"/>
      <c r="P2" s="1035"/>
      <c r="Q2" s="1035"/>
      <c r="R2" s="1035"/>
    </row>
    <row r="3" spans="1:20" s="395" customFormat="1" ht="14.25">
      <c r="A3" s="403"/>
      <c r="B3" s="403"/>
      <c r="C3" s="403"/>
      <c r="D3" s="1036" t="str">
        <f>opd_almt</f>
        <v>Jalan Pejanggik Nomor 14 Telp.( 0370 ) 627689, 625345 Fax: 627677</v>
      </c>
      <c r="E3" s="1036"/>
      <c r="F3" s="1036"/>
      <c r="G3" s="1036"/>
      <c r="H3" s="1036"/>
      <c r="I3" s="1036"/>
      <c r="J3" s="1036"/>
      <c r="K3" s="1036"/>
      <c r="L3" s="1036"/>
      <c r="M3" s="1036"/>
      <c r="N3" s="1036"/>
      <c r="O3" s="1036"/>
      <c r="P3" s="1036"/>
      <c r="Q3" s="1036"/>
      <c r="R3" s="1036"/>
    </row>
    <row r="4" spans="1:20" s="396" customFormat="1" ht="6" customHeight="1"/>
    <row r="5" spans="1:20" ht="18">
      <c r="A5" s="1037" t="s">
        <v>855</v>
      </c>
      <c r="B5" s="1038"/>
      <c r="C5" s="1038"/>
      <c r="D5" s="1038"/>
      <c r="E5" s="1038"/>
      <c r="F5" s="1038"/>
      <c r="G5" s="1038"/>
      <c r="H5" s="1038"/>
      <c r="I5" s="1038"/>
      <c r="J5" s="1038"/>
      <c r="K5" s="1038"/>
      <c r="L5" s="1038"/>
      <c r="M5" s="1038"/>
      <c r="N5" s="1038"/>
      <c r="O5" s="1038"/>
      <c r="P5" s="1038"/>
      <c r="Q5" s="1038"/>
      <c r="R5" s="1039"/>
    </row>
    <row r="6" spans="1:20" ht="6.6" customHeight="1">
      <c r="A6" s="404"/>
      <c r="D6" s="405"/>
      <c r="E6" s="405"/>
      <c r="F6" s="405"/>
      <c r="G6" s="405"/>
      <c r="R6" s="460"/>
    </row>
    <row r="7" spans="1:20" ht="15" customHeight="1">
      <c r="A7" s="406" t="s">
        <v>237</v>
      </c>
      <c r="B7" s="407"/>
      <c r="C7" s="407"/>
      <c r="D7" s="405"/>
      <c r="E7" s="405" t="s">
        <v>2</v>
      </c>
      <c r="F7" s="801" t="str">
        <f>Input!D77</f>
        <v>03.1/PP/Pkt.I/2023</v>
      </c>
      <c r="G7" s="405"/>
      <c r="R7" s="460"/>
      <c r="T7" s="71" t="s">
        <v>253</v>
      </c>
    </row>
    <row r="8" spans="1:20" ht="15" customHeight="1">
      <c r="A8" s="406" t="s">
        <v>239</v>
      </c>
      <c r="B8" s="407"/>
      <c r="C8" s="407"/>
      <c r="D8" s="405"/>
      <c r="E8" s="405" t="s">
        <v>2</v>
      </c>
      <c r="F8" s="1040">
        <f>Input!F77</f>
        <v>45931</v>
      </c>
      <c r="G8" s="1040"/>
      <c r="H8" s="1040"/>
      <c r="I8" s="1040"/>
      <c r="J8" s="1040"/>
      <c r="K8" s="1040"/>
      <c r="L8" s="1040"/>
      <c r="M8" s="1040"/>
      <c r="R8" s="460"/>
    </row>
    <row r="9" spans="1:20" ht="15" customHeight="1">
      <c r="A9" s="408" t="s">
        <v>856</v>
      </c>
      <c r="B9" s="409"/>
      <c r="C9" s="409"/>
      <c r="D9" s="409"/>
      <c r="E9" s="410" t="s">
        <v>2</v>
      </c>
      <c r="F9" s="1041" t="str">
        <f>ppk_jab</f>
        <v>Pejabat Pembuat Komitmen</v>
      </c>
      <c r="G9" s="1042"/>
      <c r="H9" s="1042"/>
      <c r="I9" s="1042"/>
      <c r="J9" s="1042"/>
      <c r="K9" s="1042"/>
      <c r="L9" s="1042"/>
      <c r="M9" s="1042"/>
      <c r="N9" s="1042"/>
      <c r="O9" s="1042"/>
      <c r="P9" s="1042"/>
      <c r="Q9" s="1042"/>
      <c r="R9" s="1043"/>
    </row>
    <row r="10" spans="1:20" ht="15" customHeight="1">
      <c r="A10" s="408" t="s">
        <v>857</v>
      </c>
      <c r="B10" s="409"/>
      <c r="C10" s="409"/>
      <c r="D10" s="409"/>
      <c r="E10" s="410" t="s">
        <v>2</v>
      </c>
      <c r="F10" s="1044" t="str">
        <f>Input!D76&amp;" tanggal "&amp;TEXT(Input!F76,"dd mmmm yyyy")</f>
        <v>027.1/01.PPK/BPKAD/2025 tanggal 06 Oktober 2025</v>
      </c>
      <c r="G10" s="1045"/>
      <c r="H10" s="1045"/>
      <c r="I10" s="1045"/>
      <c r="J10" s="1045"/>
      <c r="K10" s="1045"/>
      <c r="L10" s="1045"/>
      <c r="M10" s="1045"/>
      <c r="N10" s="1045"/>
      <c r="O10" s="1045"/>
      <c r="P10" s="1045"/>
      <c r="Q10" s="1045"/>
      <c r="R10" s="1046"/>
      <c r="S10" s="462"/>
    </row>
    <row r="11" spans="1:20" ht="29.85" customHeight="1">
      <c r="A11" s="408" t="str">
        <f>pokja</f>
        <v>Pejabat Pengadaan</v>
      </c>
      <c r="B11" s="409"/>
      <c r="C11" s="409"/>
      <c r="D11" s="409"/>
      <c r="E11" s="410" t="s">
        <v>2</v>
      </c>
      <c r="F11" s="1041" t="str">
        <f>pokja&amp;" pada "&amp;opd_nama</f>
        <v>Pejabat Pengadaan pada Badan Pengelolaan Keuangan dan Aset Daerah</v>
      </c>
      <c r="G11" s="1042"/>
      <c r="H11" s="1042"/>
      <c r="I11" s="1042"/>
      <c r="J11" s="1042"/>
      <c r="K11" s="1042"/>
      <c r="L11" s="1042"/>
      <c r="M11" s="1042"/>
      <c r="N11" s="1042"/>
      <c r="O11" s="1042"/>
      <c r="P11" s="1042"/>
      <c r="Q11" s="1042"/>
      <c r="R11" s="1043"/>
      <c r="S11" s="462"/>
    </row>
    <row r="12" spans="1:20" ht="15" customHeight="1">
      <c r="A12" s="408" t="str">
        <f>"Nomor dan tanggal SK "&amp;pokja</f>
        <v>Nomor dan tanggal SK Pejabat Pengadaan</v>
      </c>
      <c r="B12" s="409"/>
      <c r="C12" s="409"/>
      <c r="D12" s="409"/>
      <c r="E12" s="410" t="s">
        <v>2</v>
      </c>
      <c r="F12" s="802" t="str">
        <f>Input!D54</f>
        <v>xxxxxx tanggal 27 Juni 2025</v>
      </c>
      <c r="G12" s="409"/>
      <c r="H12" s="410"/>
      <c r="I12" s="410"/>
      <c r="J12" s="410"/>
      <c r="K12" s="410"/>
      <c r="L12" s="410"/>
      <c r="M12" s="410"/>
      <c r="N12" s="410"/>
      <c r="O12" s="410"/>
      <c r="P12" s="410"/>
      <c r="Q12" s="410"/>
      <c r="R12" s="463"/>
    </row>
    <row r="13" spans="1:20" ht="15" customHeight="1">
      <c r="A13" s="408" t="s">
        <v>858</v>
      </c>
      <c r="B13" s="409"/>
      <c r="C13" s="409"/>
      <c r="D13" s="409"/>
      <c r="E13" s="410" t="s">
        <v>2</v>
      </c>
      <c r="F13" s="1048" t="str">
        <f>paket</f>
        <v>Belanja Pemeliharaan Bangunan Gedung-Bangunan Gedung Tempat Kerja-Bangunan Gedung Kantor-Pemeliharaan Gedung Bertingkat</v>
      </c>
      <c r="G13" s="1048"/>
      <c r="H13" s="1048"/>
      <c r="I13" s="1048"/>
      <c r="J13" s="1048"/>
      <c r="K13" s="1048"/>
      <c r="L13" s="1048"/>
      <c r="M13" s="1048"/>
      <c r="N13" s="1048"/>
      <c r="O13" s="1048"/>
      <c r="P13" s="1048"/>
      <c r="Q13" s="1048"/>
      <c r="R13" s="1049"/>
    </row>
    <row r="14" spans="1:20" ht="15" customHeight="1">
      <c r="A14" s="412"/>
      <c r="B14" s="413"/>
      <c r="C14" s="413"/>
      <c r="D14" s="409"/>
      <c r="E14" s="409"/>
      <c r="F14" s="1048"/>
      <c r="G14" s="1048"/>
      <c r="H14" s="1048"/>
      <c r="I14" s="1048"/>
      <c r="J14" s="1048"/>
      <c r="K14" s="1048"/>
      <c r="L14" s="1048"/>
      <c r="M14" s="1048"/>
      <c r="N14" s="1048"/>
      <c r="O14" s="1048"/>
      <c r="P14" s="1048"/>
      <c r="Q14" s="1048"/>
      <c r="R14" s="1049"/>
    </row>
    <row r="15" spans="1:20" ht="15" customHeight="1">
      <c r="A15" s="408" t="s">
        <v>21</v>
      </c>
      <c r="B15" s="409"/>
      <c r="C15" s="409"/>
      <c r="D15" s="409"/>
      <c r="E15" s="409" t="s">
        <v>2</v>
      </c>
      <c r="F15" s="1047" t="str">
        <f>tahun</f>
        <v>2025</v>
      </c>
      <c r="G15" s="1047"/>
      <c r="H15" s="1047"/>
      <c r="I15" s="411"/>
      <c r="J15" s="411"/>
      <c r="K15" s="411"/>
      <c r="L15" s="411"/>
      <c r="M15" s="411"/>
      <c r="N15" s="411"/>
      <c r="O15" s="411"/>
      <c r="P15" s="411"/>
      <c r="Q15" s="411"/>
      <c r="R15" s="461"/>
    </row>
    <row r="16" spans="1:20" s="397" customFormat="1" ht="13.5" customHeight="1">
      <c r="A16" s="414" t="s">
        <v>258</v>
      </c>
      <c r="B16" s="415"/>
      <c r="C16" s="1050" t="s">
        <v>859</v>
      </c>
      <c r="D16" s="1051"/>
      <c r="E16" s="1051"/>
      <c r="F16" s="1051"/>
      <c r="G16" s="1051"/>
      <c r="H16" s="1051"/>
      <c r="I16" s="1051"/>
      <c r="J16" s="1051"/>
      <c r="K16" s="1051"/>
      <c r="L16" s="1051"/>
      <c r="M16" s="1051"/>
      <c r="N16" s="1051"/>
      <c r="O16" s="1051"/>
      <c r="P16" s="1051"/>
      <c r="Q16" s="1051"/>
      <c r="R16" s="1052"/>
    </row>
    <row r="17" spans="1:19" s="397" customFormat="1" ht="13.5" customHeight="1">
      <c r="A17" s="416" t="s">
        <v>270</v>
      </c>
      <c r="B17" s="417"/>
      <c r="C17" s="418" t="s">
        <v>860</v>
      </c>
      <c r="D17" s="419"/>
      <c r="E17" s="420"/>
      <c r="F17" s="420"/>
      <c r="G17" s="420"/>
      <c r="H17" s="421"/>
      <c r="I17" s="421"/>
      <c r="J17" s="421"/>
      <c r="K17" s="421"/>
      <c r="L17" s="421"/>
      <c r="M17" s="421"/>
      <c r="N17" s="421"/>
      <c r="O17" s="421"/>
      <c r="P17" s="421"/>
      <c r="Q17" s="421"/>
      <c r="R17" s="464"/>
    </row>
    <row r="18" spans="1:19" s="397" customFormat="1" ht="13.5" customHeight="1">
      <c r="A18" s="422">
        <v>1</v>
      </c>
      <c r="B18" s="423"/>
      <c r="C18" s="409" t="s">
        <v>861</v>
      </c>
      <c r="D18" s="409"/>
      <c r="E18" s="413" t="s">
        <v>2</v>
      </c>
      <c r="F18" s="1053" t="s">
        <v>280</v>
      </c>
      <c r="G18" s="1054"/>
      <c r="H18" s="1054"/>
      <c r="I18" s="1054"/>
      <c r="J18" s="1054"/>
      <c r="K18" s="1054"/>
      <c r="L18" s="1054"/>
      <c r="M18" s="1054"/>
      <c r="N18" s="1054"/>
      <c r="O18" s="1054"/>
      <c r="P18" s="1054"/>
      <c r="Q18" s="1054"/>
      <c r="R18" s="1055"/>
    </row>
    <row r="19" spans="1:19" s="397" customFormat="1" ht="13.5" customHeight="1">
      <c r="A19" s="422">
        <v>2</v>
      </c>
      <c r="B19" s="423"/>
      <c r="C19" s="409" t="s">
        <v>4</v>
      </c>
      <c r="D19" s="409"/>
      <c r="E19" s="413" t="s">
        <v>2</v>
      </c>
      <c r="F19" s="1056" t="s">
        <v>862</v>
      </c>
      <c r="G19" s="1054"/>
      <c r="H19" s="1054"/>
      <c r="I19" s="1054"/>
      <c r="J19" s="1054"/>
      <c r="K19" s="1054"/>
      <c r="L19" s="1054"/>
      <c r="M19" s="1054"/>
      <c r="N19" s="1054"/>
      <c r="O19" s="425"/>
      <c r="P19" s="425"/>
      <c r="Q19" s="425"/>
      <c r="R19" s="436"/>
    </row>
    <row r="20" spans="1:19" s="397" customFormat="1" ht="13.5" customHeight="1">
      <c r="A20" s="422">
        <v>3</v>
      </c>
      <c r="B20" s="423"/>
      <c r="C20" s="409" t="s">
        <v>274</v>
      </c>
      <c r="D20" s="409"/>
      <c r="E20" s="413" t="s">
        <v>2</v>
      </c>
      <c r="F20" s="1057">
        <v>271950000</v>
      </c>
      <c r="G20" s="1058"/>
      <c r="H20" s="1058"/>
      <c r="I20" s="1058"/>
      <c r="J20" s="1058"/>
      <c r="K20" s="1058"/>
      <c r="L20" s="1058"/>
      <c r="M20" s="1058"/>
      <c r="N20" s="1058"/>
      <c r="O20" s="426"/>
      <c r="P20" s="426"/>
      <c r="Q20" s="426"/>
      <c r="R20" s="465"/>
    </row>
    <row r="21" spans="1:19" s="398" customFormat="1" ht="13.5" customHeight="1">
      <c r="A21" s="422">
        <v>4</v>
      </c>
      <c r="B21" s="423"/>
      <c r="C21" s="409" t="s">
        <v>863</v>
      </c>
      <c r="D21" s="409"/>
      <c r="E21" s="413" t="s">
        <v>2</v>
      </c>
      <c r="F21" s="1053" t="s">
        <v>280</v>
      </c>
      <c r="G21" s="1054"/>
      <c r="H21" s="1054"/>
      <c r="I21" s="1054"/>
      <c r="J21" s="1054"/>
      <c r="K21" s="1054"/>
      <c r="L21" s="1054"/>
      <c r="M21" s="1054"/>
      <c r="N21" s="1054"/>
      <c r="O21" s="1054"/>
      <c r="P21" s="1054"/>
      <c r="Q21" s="1054"/>
      <c r="R21" s="1055"/>
      <c r="S21" s="466"/>
    </row>
    <row r="22" spans="1:19" s="397" customFormat="1" ht="27" customHeight="1">
      <c r="A22" s="422">
        <v>5</v>
      </c>
      <c r="B22" s="423"/>
      <c r="C22" s="409" t="s">
        <v>8</v>
      </c>
      <c r="D22" s="409"/>
      <c r="E22" s="413" t="s">
        <v>2</v>
      </c>
      <c r="F22" s="1059" t="str">
        <f>Input!D5</f>
        <v>Mataram</v>
      </c>
      <c r="G22" s="1060"/>
      <c r="H22" s="1060"/>
      <c r="I22" s="1060"/>
      <c r="J22" s="1060"/>
      <c r="K22" s="1060"/>
      <c r="L22" s="1060"/>
      <c r="M22" s="1060"/>
      <c r="N22" s="1060"/>
      <c r="O22" s="1060"/>
      <c r="P22" s="1060"/>
      <c r="Q22" s="1060"/>
      <c r="R22" s="1061"/>
    </row>
    <row r="23" spans="1:19" s="397" customFormat="1" ht="13.5" customHeight="1">
      <c r="A23" s="427" t="s">
        <v>285</v>
      </c>
      <c r="B23" s="428"/>
      <c r="C23" s="429" t="s">
        <v>864</v>
      </c>
      <c r="D23" s="429"/>
      <c r="E23" s="430"/>
      <c r="F23" s="429"/>
      <c r="G23" s="429"/>
      <c r="H23" s="431"/>
      <c r="I23" s="431"/>
      <c r="J23" s="431"/>
      <c r="K23" s="431"/>
      <c r="L23" s="431"/>
      <c r="M23" s="431"/>
      <c r="N23" s="431"/>
      <c r="O23" s="431"/>
      <c r="P23" s="431"/>
      <c r="Q23" s="431"/>
      <c r="R23" s="467"/>
    </row>
    <row r="24" spans="1:19" s="397" customFormat="1" ht="13.5" customHeight="1">
      <c r="A24" s="422">
        <v>1</v>
      </c>
      <c r="B24" s="423"/>
      <c r="C24" s="409" t="s">
        <v>865</v>
      </c>
      <c r="D24" s="409"/>
      <c r="E24" s="413"/>
      <c r="F24" s="432" t="s">
        <v>866</v>
      </c>
      <c r="G24" s="409" t="s">
        <v>867</v>
      </c>
      <c r="H24" s="409"/>
      <c r="I24" s="440"/>
      <c r="J24" s="410" t="s">
        <v>868</v>
      </c>
      <c r="K24" s="410"/>
      <c r="L24" s="410"/>
      <c r="M24" s="410"/>
      <c r="N24" s="440"/>
      <c r="O24" s="410" t="s">
        <v>869</v>
      </c>
      <c r="P24" s="410"/>
      <c r="Q24" s="410"/>
      <c r="R24" s="463"/>
    </row>
    <row r="25" spans="1:19" s="397" customFormat="1" ht="13.5" customHeight="1">
      <c r="A25" s="422">
        <v>2</v>
      </c>
      <c r="B25" s="423"/>
      <c r="C25" s="409" t="s">
        <v>870</v>
      </c>
      <c r="D25" s="409"/>
      <c r="E25" s="413"/>
      <c r="F25" s="432" t="s">
        <v>866</v>
      </c>
      <c r="G25" s="410" t="s">
        <v>871</v>
      </c>
      <c r="H25" s="410"/>
      <c r="I25" s="440"/>
      <c r="J25" s="455" t="s">
        <v>872</v>
      </c>
      <c r="K25" s="410"/>
      <c r="L25" s="410"/>
      <c r="M25" s="410"/>
      <c r="N25" s="410"/>
      <c r="O25" s="410"/>
      <c r="P25" s="410"/>
      <c r="Q25" s="410"/>
      <c r="R25" s="463"/>
    </row>
    <row r="26" spans="1:19" s="397" customFormat="1" ht="13.5" customHeight="1">
      <c r="A26" s="422">
        <v>3</v>
      </c>
      <c r="B26" s="423"/>
      <c r="C26" s="409" t="s">
        <v>873</v>
      </c>
      <c r="D26" s="409"/>
      <c r="E26" s="413"/>
      <c r="F26" s="432"/>
      <c r="G26" s="410" t="s">
        <v>874</v>
      </c>
      <c r="H26" s="410"/>
      <c r="I26" s="432" t="s">
        <v>866</v>
      </c>
      <c r="J26" s="455" t="s">
        <v>875</v>
      </c>
      <c r="K26" s="410"/>
      <c r="L26" s="410"/>
      <c r="M26" s="410"/>
      <c r="N26" s="410"/>
      <c r="O26" s="410"/>
      <c r="P26" s="410"/>
      <c r="Q26" s="410"/>
      <c r="R26" s="463"/>
    </row>
    <row r="27" spans="1:19" s="397" customFormat="1" ht="13.5" hidden="1" customHeight="1">
      <c r="A27" s="422">
        <v>4</v>
      </c>
      <c r="B27" s="423"/>
      <c r="C27" s="409"/>
      <c r="D27" s="409"/>
      <c r="E27" s="413"/>
      <c r="F27" s="432"/>
      <c r="G27" s="410"/>
      <c r="H27" s="410"/>
      <c r="I27" s="432"/>
      <c r="J27" s="455"/>
      <c r="K27" s="410"/>
      <c r="L27" s="410"/>
      <c r="M27" s="410"/>
      <c r="N27" s="410"/>
      <c r="O27" s="410"/>
      <c r="P27" s="410"/>
      <c r="Q27" s="410"/>
      <c r="R27" s="463"/>
    </row>
    <row r="28" spans="1:19" s="397" customFormat="1" ht="13.5" customHeight="1">
      <c r="A28" s="427" t="s">
        <v>288</v>
      </c>
      <c r="B28" s="428"/>
      <c r="C28" s="429" t="s">
        <v>876</v>
      </c>
      <c r="D28" s="429"/>
      <c r="E28" s="430"/>
      <c r="F28" s="429"/>
      <c r="G28" s="429"/>
      <c r="H28" s="431"/>
      <c r="I28" s="431"/>
      <c r="J28" s="431"/>
      <c r="K28" s="431"/>
      <c r="L28" s="431"/>
      <c r="M28" s="431"/>
      <c r="N28" s="431"/>
      <c r="O28" s="431"/>
      <c r="P28" s="431"/>
      <c r="Q28" s="431"/>
      <c r="R28" s="467"/>
    </row>
    <row r="29" spans="1:19" s="397" customFormat="1" ht="13.5" customHeight="1">
      <c r="A29" s="422">
        <v>1</v>
      </c>
      <c r="B29" s="423"/>
      <c r="C29" s="409" t="s">
        <v>877</v>
      </c>
      <c r="D29" s="409"/>
      <c r="E29" s="413" t="s">
        <v>2</v>
      </c>
      <c r="F29" s="1062">
        <f>hps</f>
        <v>69862000</v>
      </c>
      <c r="G29" s="1063"/>
      <c r="H29" s="1063"/>
      <c r="I29" s="1063"/>
      <c r="J29" s="1063"/>
      <c r="K29" s="1063"/>
      <c r="L29" s="1063"/>
      <c r="M29" s="1063"/>
      <c r="N29" s="1063"/>
      <c r="O29" s="1063"/>
      <c r="P29" s="1063"/>
      <c r="Q29" s="1063"/>
      <c r="R29" s="1064"/>
    </row>
    <row r="30" spans="1:19" s="397" customFormat="1" ht="13.5" customHeight="1">
      <c r="A30" s="422">
        <v>2</v>
      </c>
      <c r="B30" s="423"/>
      <c r="C30" s="409" t="s">
        <v>878</v>
      </c>
      <c r="D30" s="409"/>
      <c r="E30" s="413" t="s">
        <v>2</v>
      </c>
      <c r="F30" s="1056" t="s">
        <v>57</v>
      </c>
      <c r="G30" s="1054"/>
      <c r="H30" s="1054"/>
      <c r="I30" s="1054"/>
      <c r="J30" s="1054"/>
      <c r="K30" s="1054"/>
      <c r="L30" s="1054"/>
      <c r="M30" s="1054"/>
      <c r="N30" s="1054"/>
      <c r="O30" s="1054"/>
      <c r="P30" s="1054"/>
      <c r="Q30" s="1054"/>
      <c r="R30" s="1055"/>
    </row>
    <row r="31" spans="1:19" s="397" customFormat="1" ht="13.5" customHeight="1">
      <c r="A31" s="422">
        <v>3</v>
      </c>
      <c r="B31" s="423"/>
      <c r="C31" s="409" t="s">
        <v>879</v>
      </c>
      <c r="D31" s="409"/>
      <c r="E31" s="413" t="s">
        <v>2</v>
      </c>
      <c r="F31" s="424" t="s">
        <v>880</v>
      </c>
      <c r="G31" s="433"/>
      <c r="H31" s="433"/>
      <c r="I31" s="456"/>
      <c r="J31" s="433"/>
      <c r="K31" s="433"/>
      <c r="L31" s="433"/>
      <c r="M31" s="433"/>
      <c r="N31" s="433"/>
      <c r="O31" s="433"/>
      <c r="P31" s="433"/>
      <c r="Q31" s="433"/>
      <c r="R31" s="468"/>
    </row>
    <row r="32" spans="1:19" s="397" customFormat="1" ht="13.35" customHeight="1">
      <c r="A32" s="422">
        <v>4</v>
      </c>
      <c r="B32" s="434"/>
      <c r="C32" s="1068" t="s">
        <v>881</v>
      </c>
      <c r="D32" s="1042"/>
      <c r="E32" s="413" t="s">
        <v>2</v>
      </c>
      <c r="F32" s="432" t="s">
        <v>866</v>
      </c>
      <c r="G32" s="410" t="s">
        <v>882</v>
      </c>
      <c r="H32" s="410"/>
      <c r="I32" s="439"/>
      <c r="J32" s="410" t="s">
        <v>883</v>
      </c>
      <c r="K32" s="410"/>
      <c r="L32" s="410"/>
      <c r="M32" s="410"/>
      <c r="N32" s="410"/>
      <c r="O32" s="410"/>
      <c r="P32" s="410"/>
      <c r="Q32" s="410"/>
      <c r="R32" s="463"/>
    </row>
    <row r="33" spans="1:18" s="397" customFormat="1" ht="17.25" customHeight="1">
      <c r="A33" s="422"/>
      <c r="B33" s="434"/>
      <c r="C33" s="1068"/>
      <c r="D33" s="1042"/>
      <c r="E33" s="413"/>
      <c r="F33" s="435"/>
      <c r="G33" s="410"/>
      <c r="H33" s="410"/>
      <c r="I33" s="435"/>
      <c r="J33" s="410"/>
      <c r="K33" s="410"/>
      <c r="L33" s="410"/>
      <c r="M33" s="410"/>
      <c r="N33" s="410"/>
      <c r="O33" s="410"/>
      <c r="P33" s="410"/>
      <c r="Q33" s="410"/>
      <c r="R33" s="463"/>
    </row>
    <row r="34" spans="1:18" s="397" customFormat="1" ht="13.5" customHeight="1">
      <c r="A34" s="422">
        <v>5</v>
      </c>
      <c r="B34" s="423"/>
      <c r="C34" s="409" t="s">
        <v>884</v>
      </c>
      <c r="D34" s="409"/>
      <c r="E34" s="413" t="s">
        <v>2</v>
      </c>
      <c r="F34" s="1056" t="s">
        <v>882</v>
      </c>
      <c r="G34" s="1054"/>
      <c r="H34" s="1055"/>
      <c r="I34" s="435"/>
      <c r="J34" s="410" t="s">
        <v>885</v>
      </c>
      <c r="K34" s="410"/>
      <c r="L34" s="410"/>
      <c r="M34" s="1065">
        <v>45712</v>
      </c>
      <c r="N34" s="1066"/>
      <c r="O34" s="1066"/>
      <c r="P34" s="1066"/>
      <c r="Q34" s="1066"/>
      <c r="R34" s="1067"/>
    </row>
    <row r="35" spans="1:18" s="397" customFormat="1" ht="13.5" customHeight="1">
      <c r="A35" s="427" t="s">
        <v>886</v>
      </c>
      <c r="B35" s="428"/>
      <c r="C35" s="429" t="s">
        <v>887</v>
      </c>
      <c r="D35" s="429"/>
      <c r="E35" s="430"/>
      <c r="F35" s="429"/>
      <c r="G35" s="429"/>
      <c r="H35" s="431"/>
      <c r="I35" s="431"/>
      <c r="J35" s="431"/>
      <c r="K35" s="431"/>
      <c r="L35" s="431"/>
      <c r="M35" s="431"/>
      <c r="N35" s="431"/>
      <c r="O35" s="431"/>
      <c r="P35" s="431"/>
      <c r="Q35" s="431"/>
      <c r="R35" s="467"/>
    </row>
    <row r="36" spans="1:18" s="397" customFormat="1" ht="13.5" customHeight="1">
      <c r="A36" s="422">
        <v>1</v>
      </c>
      <c r="B36" s="423"/>
      <c r="C36" s="409" t="s">
        <v>888</v>
      </c>
      <c r="D36" s="409"/>
      <c r="E36" s="413" t="s">
        <v>2</v>
      </c>
      <c r="F36" s="1056" t="s">
        <v>889</v>
      </c>
      <c r="G36" s="1054"/>
      <c r="H36" s="1054"/>
      <c r="I36" s="1054"/>
      <c r="J36" s="1054"/>
      <c r="K36" s="1054"/>
      <c r="L36" s="1054"/>
      <c r="M36" s="1054"/>
      <c r="N36" s="1054"/>
      <c r="O36" s="1054"/>
      <c r="P36" s="1054"/>
      <c r="Q36" s="1054"/>
      <c r="R36" s="1055"/>
    </row>
    <row r="37" spans="1:18" s="397" customFormat="1" ht="13.5" customHeight="1">
      <c r="A37" s="422">
        <v>2</v>
      </c>
      <c r="B37" s="423"/>
      <c r="C37" s="409" t="s">
        <v>890</v>
      </c>
      <c r="D37" s="409"/>
      <c r="E37" s="413" t="s">
        <v>2</v>
      </c>
      <c r="F37" s="432" t="s">
        <v>866</v>
      </c>
      <c r="G37" s="410" t="s">
        <v>891</v>
      </c>
      <c r="H37" s="410"/>
      <c r="I37" s="439"/>
      <c r="J37" s="410" t="s">
        <v>892</v>
      </c>
      <c r="K37" s="410"/>
      <c r="L37" s="410"/>
      <c r="M37" s="410"/>
      <c r="N37" s="410"/>
      <c r="O37" s="439"/>
      <c r="P37" s="410" t="s">
        <v>893</v>
      </c>
      <c r="Q37" s="410"/>
      <c r="R37" s="463"/>
    </row>
    <row r="38" spans="1:18" s="397" customFormat="1" ht="13.5" customHeight="1">
      <c r="A38" s="422">
        <v>3</v>
      </c>
      <c r="B38" s="423"/>
      <c r="C38" s="409" t="s">
        <v>894</v>
      </c>
      <c r="D38" s="409"/>
      <c r="E38" s="413" t="s">
        <v>2</v>
      </c>
      <c r="F38" s="437"/>
      <c r="G38" s="410" t="s">
        <v>891</v>
      </c>
      <c r="H38" s="410"/>
      <c r="I38" s="457"/>
      <c r="J38" s="410" t="s">
        <v>892</v>
      </c>
      <c r="K38" s="410"/>
      <c r="L38" s="410"/>
      <c r="M38" s="410"/>
      <c r="N38" s="410"/>
      <c r="O38" s="437"/>
      <c r="P38" s="410" t="s">
        <v>893</v>
      </c>
      <c r="Q38" s="410"/>
      <c r="R38" s="463"/>
    </row>
    <row r="39" spans="1:18" s="397" customFormat="1" ht="13.5" customHeight="1">
      <c r="A39" s="422">
        <v>4</v>
      </c>
      <c r="B39" s="423"/>
      <c r="C39" s="409" t="s">
        <v>25</v>
      </c>
      <c r="D39" s="409"/>
      <c r="E39" s="413" t="s">
        <v>2</v>
      </c>
      <c r="F39" s="1069" t="s">
        <v>26</v>
      </c>
      <c r="G39" s="1070"/>
      <c r="H39" s="1070"/>
      <c r="I39" s="1070"/>
      <c r="J39" s="1070"/>
      <c r="K39" s="1070"/>
      <c r="L39" s="1070"/>
      <c r="M39" s="1070"/>
      <c r="N39" s="1070"/>
      <c r="O39" s="1070"/>
      <c r="P39" s="438"/>
      <c r="Q39" s="438"/>
      <c r="R39" s="469"/>
    </row>
    <row r="40" spans="1:18" s="397" customFormat="1" ht="13.5" customHeight="1">
      <c r="A40" s="422">
        <v>5</v>
      </c>
      <c r="B40" s="423"/>
      <c r="C40" s="409" t="s">
        <v>29</v>
      </c>
      <c r="D40" s="409"/>
      <c r="E40" s="413" t="s">
        <v>2</v>
      </c>
      <c r="F40" s="1071">
        <v>90</v>
      </c>
      <c r="G40" s="1072"/>
      <c r="H40" s="410" t="s">
        <v>895</v>
      </c>
      <c r="I40" s="410"/>
      <c r="J40" s="410"/>
      <c r="K40" s="410"/>
      <c r="L40" s="410"/>
      <c r="M40" s="410"/>
      <c r="N40" s="435"/>
      <c r="O40" s="410"/>
      <c r="P40" s="410"/>
      <c r="Q40" s="410"/>
      <c r="R40" s="463"/>
    </row>
    <row r="41" spans="1:18" s="397" customFormat="1" ht="13.5" customHeight="1">
      <c r="A41" s="422">
        <v>6</v>
      </c>
      <c r="B41" s="423"/>
      <c r="C41" s="409" t="s">
        <v>220</v>
      </c>
      <c r="D41" s="409"/>
      <c r="E41" s="413" t="s">
        <v>2</v>
      </c>
      <c r="F41" s="432" t="s">
        <v>866</v>
      </c>
      <c r="G41" s="410" t="s">
        <v>221</v>
      </c>
      <c r="H41" s="410"/>
      <c r="I41" s="440"/>
      <c r="J41" s="410" t="s">
        <v>896</v>
      </c>
      <c r="K41" s="410"/>
      <c r="L41" s="410"/>
      <c r="M41" s="410"/>
      <c r="O41" s="440"/>
      <c r="P41" s="410" t="s">
        <v>893</v>
      </c>
      <c r="Q41" s="410"/>
      <c r="R41" s="463"/>
    </row>
    <row r="42" spans="1:18" s="397" customFormat="1" ht="13.5" customHeight="1">
      <c r="A42" s="422">
        <v>7</v>
      </c>
      <c r="B42" s="423"/>
      <c r="C42" s="409" t="s">
        <v>218</v>
      </c>
      <c r="D42" s="409"/>
      <c r="E42" s="413" t="s">
        <v>2</v>
      </c>
      <c r="F42" s="439"/>
      <c r="G42" s="410" t="s">
        <v>897</v>
      </c>
      <c r="H42" s="410"/>
      <c r="I42" s="440"/>
      <c r="J42" s="410" t="s">
        <v>898</v>
      </c>
      <c r="K42" s="410"/>
      <c r="L42" s="410"/>
      <c r="M42" s="410"/>
      <c r="N42" s="432" t="s">
        <v>866</v>
      </c>
      <c r="O42" s="410" t="s">
        <v>219</v>
      </c>
      <c r="P42" s="410"/>
      <c r="Q42" s="410"/>
      <c r="R42" s="463"/>
    </row>
    <row r="43" spans="1:18" s="397" customFormat="1" ht="13.5" customHeight="1">
      <c r="A43" s="422">
        <v>8</v>
      </c>
      <c r="B43" s="423"/>
      <c r="C43" s="409" t="s">
        <v>899</v>
      </c>
      <c r="D43" s="409"/>
      <c r="E43" s="413" t="s">
        <v>2</v>
      </c>
      <c r="F43" s="803" t="s">
        <v>280</v>
      </c>
      <c r="G43" s="410" t="s">
        <v>891</v>
      </c>
      <c r="H43" s="410"/>
      <c r="I43" s="440"/>
      <c r="J43" s="410" t="s">
        <v>892</v>
      </c>
      <c r="K43" s="410"/>
      <c r="L43" s="410"/>
      <c r="M43" s="410"/>
      <c r="N43" s="440"/>
      <c r="O43" s="410" t="s">
        <v>893</v>
      </c>
      <c r="P43" s="410"/>
      <c r="Q43" s="410"/>
      <c r="R43" s="463"/>
    </row>
    <row r="44" spans="1:18" s="397" customFormat="1" ht="13.5" customHeight="1">
      <c r="A44" s="422">
        <v>9</v>
      </c>
      <c r="B44" s="423"/>
      <c r="C44" s="409" t="s">
        <v>900</v>
      </c>
      <c r="D44" s="409"/>
      <c r="E44" s="413" t="s">
        <v>2</v>
      </c>
      <c r="F44" s="803" t="s">
        <v>280</v>
      </c>
      <c r="G44" s="410" t="s">
        <v>891</v>
      </c>
      <c r="H44" s="410"/>
      <c r="I44" s="440"/>
      <c r="J44" s="410" t="s">
        <v>892</v>
      </c>
      <c r="K44" s="410"/>
      <c r="L44" s="410"/>
      <c r="M44" s="410"/>
      <c r="N44" s="440"/>
      <c r="O44" s="410" t="s">
        <v>893</v>
      </c>
      <c r="P44" s="410"/>
      <c r="Q44" s="410"/>
      <c r="R44" s="463"/>
    </row>
    <row r="45" spans="1:18" s="397" customFormat="1" ht="13.5" customHeight="1">
      <c r="A45" s="422">
        <v>10</v>
      </c>
      <c r="B45" s="423"/>
      <c r="C45" s="409" t="s">
        <v>901</v>
      </c>
      <c r="D45" s="409"/>
      <c r="E45" s="413" t="s">
        <v>2</v>
      </c>
      <c r="F45" s="1073" t="s">
        <v>280</v>
      </c>
      <c r="G45" s="1072"/>
      <c r="H45" s="410" t="s">
        <v>902</v>
      </c>
      <c r="I45" s="410"/>
      <c r="J45" s="410"/>
      <c r="K45" s="410"/>
      <c r="L45" s="410"/>
      <c r="M45" s="410"/>
      <c r="N45" s="435"/>
      <c r="O45" s="410"/>
      <c r="P45" s="410"/>
      <c r="Q45" s="410"/>
      <c r="R45" s="463"/>
    </row>
    <row r="46" spans="1:18" s="397" customFormat="1" ht="13.5" customHeight="1">
      <c r="A46" s="441">
        <v>11</v>
      </c>
      <c r="B46" s="442"/>
      <c r="C46" s="443" t="s">
        <v>903</v>
      </c>
      <c r="D46" s="443"/>
      <c r="E46" s="444" t="s">
        <v>2</v>
      </c>
      <c r="F46" s="432"/>
      <c r="G46" s="445" t="s">
        <v>904</v>
      </c>
      <c r="H46" s="445"/>
      <c r="I46" s="458"/>
      <c r="J46" s="445"/>
      <c r="K46" s="432" t="s">
        <v>866</v>
      </c>
      <c r="L46" s="445" t="s">
        <v>905</v>
      </c>
      <c r="M46" s="445"/>
      <c r="N46" s="458"/>
      <c r="O46" s="445"/>
      <c r="P46" s="445"/>
      <c r="Q46" s="445"/>
      <c r="R46" s="470"/>
    </row>
    <row r="47" spans="1:18" s="397" customFormat="1" ht="13.5" customHeight="1">
      <c r="A47" s="416" t="s">
        <v>906</v>
      </c>
      <c r="B47" s="417"/>
      <c r="C47" s="418" t="s">
        <v>907</v>
      </c>
      <c r="D47" s="418"/>
      <c r="E47" s="446"/>
      <c r="F47" s="418"/>
      <c r="G47" s="418"/>
      <c r="H47" s="421"/>
      <c r="I47" s="421"/>
      <c r="J47" s="421"/>
      <c r="K47" s="421"/>
      <c r="L47" s="421"/>
      <c r="M47" s="421"/>
      <c r="N47" s="421"/>
      <c r="O47" s="421"/>
      <c r="P47" s="421"/>
      <c r="Q47" s="421"/>
      <c r="R47" s="464"/>
    </row>
    <row r="48" spans="1:18" s="397" customFormat="1" ht="13.5" customHeight="1">
      <c r="A48" s="422">
        <v>1</v>
      </c>
      <c r="B48" s="423"/>
      <c r="C48" s="409" t="s">
        <v>908</v>
      </c>
      <c r="D48" s="409"/>
      <c r="E48" s="413" t="s">
        <v>2</v>
      </c>
      <c r="F48" s="440"/>
      <c r="G48" s="410" t="s">
        <v>882</v>
      </c>
      <c r="H48" s="410"/>
      <c r="I48" s="440"/>
      <c r="J48" s="410" t="s">
        <v>892</v>
      </c>
      <c r="K48" s="410"/>
      <c r="L48" s="435"/>
      <c r="M48" s="410"/>
      <c r="N48" s="440"/>
      <c r="O48" s="410" t="s">
        <v>869</v>
      </c>
      <c r="P48" s="410"/>
      <c r="Q48" s="435"/>
      <c r="R48" s="463"/>
    </row>
    <row r="49" spans="1:18" s="397" customFormat="1" ht="13.5" customHeight="1">
      <c r="A49" s="422">
        <v>2</v>
      </c>
      <c r="B49" s="423"/>
      <c r="C49" s="409" t="s">
        <v>909</v>
      </c>
      <c r="D49" s="409"/>
      <c r="E49" s="413" t="s">
        <v>2</v>
      </c>
      <c r="F49" s="440"/>
      <c r="G49" s="410" t="s">
        <v>891</v>
      </c>
      <c r="H49" s="410"/>
      <c r="I49" s="440"/>
      <c r="J49" s="410" t="s">
        <v>892</v>
      </c>
      <c r="K49" s="410"/>
      <c r="L49" s="410"/>
      <c r="M49" s="410"/>
      <c r="N49" s="439"/>
      <c r="O49" s="410" t="s">
        <v>869</v>
      </c>
      <c r="P49" s="410"/>
      <c r="Q49" s="410"/>
      <c r="R49" s="463"/>
    </row>
    <row r="50" spans="1:18" s="397" customFormat="1" ht="13.5" customHeight="1">
      <c r="A50" s="422">
        <v>3</v>
      </c>
      <c r="B50" s="423"/>
      <c r="C50" s="409" t="s">
        <v>910</v>
      </c>
      <c r="D50" s="409"/>
      <c r="E50" s="413" t="s">
        <v>2</v>
      </c>
      <c r="F50" s="440"/>
      <c r="G50" s="410" t="s">
        <v>891</v>
      </c>
      <c r="H50" s="410"/>
      <c r="I50" s="440"/>
      <c r="J50" s="410" t="s">
        <v>892</v>
      </c>
      <c r="K50" s="410"/>
      <c r="L50" s="410"/>
      <c r="M50" s="410"/>
      <c r="N50" s="440"/>
      <c r="O50" s="410" t="s">
        <v>869</v>
      </c>
      <c r="P50" s="410"/>
      <c r="Q50" s="410"/>
      <c r="R50" s="463"/>
    </row>
    <row r="51" spans="1:18" s="397" customFormat="1" ht="13.5" customHeight="1">
      <c r="A51" s="422">
        <v>4</v>
      </c>
      <c r="B51" s="423"/>
      <c r="C51" s="409" t="s">
        <v>911</v>
      </c>
      <c r="D51" s="409"/>
      <c r="E51" s="413" t="s">
        <v>2</v>
      </c>
      <c r="F51" s="410" t="s">
        <v>912</v>
      </c>
      <c r="G51" s="410"/>
      <c r="H51" s="410"/>
      <c r="I51" s="410"/>
      <c r="J51" s="410"/>
      <c r="K51" s="410"/>
      <c r="L51" s="410"/>
      <c r="M51" s="410"/>
      <c r="N51" s="410"/>
      <c r="O51" s="410"/>
      <c r="P51" s="410"/>
      <c r="Q51" s="410"/>
      <c r="R51" s="463"/>
    </row>
    <row r="52" spans="1:18" s="397" customFormat="1" ht="13.5" customHeight="1">
      <c r="A52" s="422">
        <v>5</v>
      </c>
      <c r="B52" s="423"/>
      <c r="C52" s="409" t="s">
        <v>913</v>
      </c>
      <c r="D52" s="409"/>
      <c r="E52" s="413" t="s">
        <v>2</v>
      </c>
      <c r="F52" s="440"/>
      <c r="G52" s="410" t="s">
        <v>914</v>
      </c>
      <c r="H52" s="410"/>
      <c r="I52" s="459"/>
      <c r="J52" s="410" t="s">
        <v>915</v>
      </c>
      <c r="K52" s="410"/>
      <c r="L52" s="410"/>
      <c r="M52" s="410"/>
      <c r="N52" s="440"/>
      <c r="O52" s="410" t="s">
        <v>916</v>
      </c>
      <c r="P52" s="410"/>
      <c r="Q52" s="410"/>
      <c r="R52" s="463"/>
    </row>
    <row r="53" spans="1:18" s="397" customFormat="1" ht="13.5" customHeight="1">
      <c r="A53" s="427" t="s">
        <v>917</v>
      </c>
      <c r="B53" s="428"/>
      <c r="C53" s="429" t="s">
        <v>918</v>
      </c>
      <c r="D53" s="429"/>
      <c r="E53" s="429"/>
      <c r="F53" s="429"/>
      <c r="G53" s="429"/>
      <c r="H53" s="431"/>
      <c r="I53" s="431"/>
      <c r="J53" s="431"/>
      <c r="K53" s="431"/>
      <c r="L53" s="431"/>
      <c r="M53" s="431"/>
      <c r="N53" s="431"/>
      <c r="O53" s="431"/>
      <c r="P53" s="431"/>
      <c r="Q53" s="431"/>
      <c r="R53" s="467"/>
    </row>
    <row r="54" spans="1:18" s="397" customFormat="1" ht="15" customHeight="1">
      <c r="A54" s="447"/>
      <c r="B54" s="448"/>
      <c r="C54" s="1074"/>
      <c r="D54" s="1075"/>
      <c r="E54" s="1075"/>
      <c r="F54" s="1075"/>
      <c r="G54" s="1075"/>
      <c r="H54" s="1075"/>
      <c r="I54" s="1075"/>
      <c r="J54" s="1075"/>
      <c r="K54" s="1075"/>
      <c r="L54" s="1075"/>
      <c r="M54" s="1075"/>
      <c r="N54" s="1075"/>
      <c r="O54" s="1075"/>
      <c r="P54" s="1075"/>
      <c r="Q54" s="1075"/>
      <c r="R54" s="1076"/>
    </row>
    <row r="55" spans="1:18" s="397" customFormat="1" ht="15" customHeight="1">
      <c r="A55" s="447"/>
      <c r="B55" s="448"/>
      <c r="C55" s="1074"/>
      <c r="D55" s="1075"/>
      <c r="E55" s="1075"/>
      <c r="F55" s="1075"/>
      <c r="G55" s="1075"/>
      <c r="H55" s="1075"/>
      <c r="I55" s="1075"/>
      <c r="J55" s="1075"/>
      <c r="K55" s="1075"/>
      <c r="L55" s="1075"/>
      <c r="M55" s="1075"/>
      <c r="N55" s="1075"/>
      <c r="O55" s="1075"/>
      <c r="P55" s="1075"/>
      <c r="Q55" s="1075"/>
      <c r="R55" s="1076"/>
    </row>
    <row r="56" spans="1:18" s="397" customFormat="1" ht="15" customHeight="1">
      <c r="A56" s="447"/>
      <c r="B56" s="448"/>
      <c r="C56" s="1074"/>
      <c r="D56" s="1075"/>
      <c r="E56" s="1075"/>
      <c r="F56" s="1075"/>
      <c r="G56" s="1075"/>
      <c r="H56" s="1075"/>
      <c r="I56" s="1075"/>
      <c r="J56" s="1075"/>
      <c r="K56" s="1075"/>
      <c r="L56" s="1075"/>
      <c r="M56" s="1075"/>
      <c r="N56" s="1075"/>
      <c r="O56" s="1075"/>
      <c r="P56" s="1075"/>
      <c r="Q56" s="1075"/>
      <c r="R56" s="1076"/>
    </row>
    <row r="57" spans="1:18" s="397" customFormat="1" ht="15" customHeight="1">
      <c r="A57" s="447"/>
      <c r="B57" s="448"/>
      <c r="C57" s="1074"/>
      <c r="D57" s="1075"/>
      <c r="E57" s="1075"/>
      <c r="F57" s="1075"/>
      <c r="G57" s="1075"/>
      <c r="H57" s="1075"/>
      <c r="I57" s="1075"/>
      <c r="J57" s="1075"/>
      <c r="K57" s="1075"/>
      <c r="L57" s="1075"/>
      <c r="M57" s="1075"/>
      <c r="N57" s="1075"/>
      <c r="O57" s="1075"/>
      <c r="P57" s="1075"/>
      <c r="Q57" s="1075"/>
      <c r="R57" s="1076"/>
    </row>
    <row r="58" spans="1:18" s="397" customFormat="1" ht="15" customHeight="1">
      <c r="A58" s="447"/>
      <c r="B58" s="448"/>
      <c r="C58" s="1077"/>
      <c r="D58" s="1078"/>
      <c r="E58" s="1078"/>
      <c r="F58" s="1078"/>
      <c r="G58" s="1078"/>
      <c r="H58" s="1078"/>
      <c r="I58" s="1078"/>
      <c r="J58" s="1078"/>
      <c r="K58" s="1078"/>
      <c r="L58" s="1078"/>
      <c r="M58" s="1078"/>
      <c r="N58" s="1078"/>
      <c r="O58" s="1078"/>
      <c r="P58" s="1078"/>
      <c r="Q58" s="1078"/>
      <c r="R58" s="1079"/>
    </row>
    <row r="59" spans="1:18" s="397" customFormat="1" ht="13.5" customHeight="1">
      <c r="A59" s="451" t="s">
        <v>919</v>
      </c>
      <c r="B59" s="452"/>
      <c r="C59" s="453" t="s">
        <v>920</v>
      </c>
      <c r="D59" s="453"/>
      <c r="E59" s="1080" t="s">
        <v>921</v>
      </c>
      <c r="F59" s="1080"/>
      <c r="G59" s="1080"/>
      <c r="H59" s="1080"/>
      <c r="I59" s="1080"/>
      <c r="J59" s="1080"/>
      <c r="K59" s="1080"/>
      <c r="L59" s="1080"/>
      <c r="M59" s="1080"/>
      <c r="N59" s="1080"/>
      <c r="O59" s="454"/>
      <c r="P59" s="454"/>
      <c r="Q59" s="454"/>
      <c r="R59" s="471"/>
    </row>
    <row r="60" spans="1:18" ht="13.5" customHeight="1">
      <c r="A60" s="400" t="s">
        <v>922</v>
      </c>
      <c r="C60" s="405" t="s">
        <v>923</v>
      </c>
      <c r="D60" s="405"/>
      <c r="E60" s="405"/>
      <c r="F60" s="405"/>
      <c r="G60" s="405"/>
    </row>
    <row r="61" spans="1:18" ht="13.5" customHeight="1">
      <c r="C61" s="405" t="s">
        <v>924</v>
      </c>
      <c r="D61" s="405"/>
      <c r="E61" s="405"/>
      <c r="F61" s="405"/>
      <c r="G61" s="405"/>
    </row>
    <row r="62" spans="1:18" ht="9.6" customHeight="1">
      <c r="C62" s="405"/>
      <c r="D62" s="405"/>
      <c r="E62" s="405"/>
      <c r="F62" s="405"/>
      <c r="G62" s="405"/>
    </row>
    <row r="63" spans="1:18" ht="33" customHeight="1">
      <c r="C63" s="1081" t="str">
        <f>ppk_jab</f>
        <v>Pejabat Pembuat Komitmen</v>
      </c>
      <c r="D63" s="1081"/>
      <c r="E63" s="449"/>
      <c r="F63" s="449"/>
      <c r="G63" s="450"/>
      <c r="H63" s="449"/>
      <c r="I63" s="1082" t="str">
        <f>F11</f>
        <v>Pejabat Pengadaan pada Badan Pengelolaan Keuangan dan Aset Daerah</v>
      </c>
      <c r="J63" s="1082"/>
      <c r="K63" s="1082"/>
      <c r="L63" s="1082"/>
      <c r="M63" s="1082"/>
      <c r="N63" s="1082"/>
      <c r="O63" s="1082"/>
      <c r="P63" s="1082"/>
      <c r="Q63" s="1082"/>
      <c r="R63" s="1082"/>
    </row>
    <row r="64" spans="1:18" ht="13.5" customHeight="1">
      <c r="C64" s="405"/>
      <c r="D64" s="405"/>
      <c r="E64" s="405"/>
      <c r="F64" s="405"/>
      <c r="G64" s="405"/>
    </row>
    <row r="65" spans="1:20" ht="13.5" customHeight="1">
      <c r="C65" s="405"/>
      <c r="D65" s="405"/>
      <c r="E65" s="405"/>
      <c r="F65" s="405"/>
      <c r="G65" s="405"/>
      <c r="M65" s="405"/>
      <c r="Q65" s="405"/>
    </row>
    <row r="66" spans="1:20" ht="13.5" customHeight="1">
      <c r="C66" s="405"/>
      <c r="D66" s="405"/>
      <c r="E66" s="405"/>
      <c r="F66" s="405"/>
      <c r="G66" s="405"/>
    </row>
    <row r="67" spans="1:20" ht="13.5" customHeight="1">
      <c r="A67" s="472"/>
      <c r="B67" s="472"/>
      <c r="C67" s="407"/>
      <c r="D67" s="407"/>
      <c r="E67" s="407"/>
      <c r="F67" s="405"/>
      <c r="G67" s="405"/>
      <c r="H67" s="407"/>
      <c r="M67" s="405"/>
      <c r="N67" s="407"/>
      <c r="Q67" s="405"/>
    </row>
    <row r="68" spans="1:20" ht="13.5" hidden="1" customHeight="1">
      <c r="C68" s="804" t="s">
        <v>925</v>
      </c>
      <c r="D68" s="804" t="s">
        <v>925</v>
      </c>
      <c r="E68" s="405"/>
      <c r="F68" s="805" t="s">
        <v>422</v>
      </c>
      <c r="G68" s="405"/>
      <c r="M68" s="805" t="s">
        <v>435</v>
      </c>
    </row>
    <row r="69" spans="1:20" ht="13.5" hidden="1" customHeight="1">
      <c r="A69" s="472"/>
      <c r="B69" s="472"/>
      <c r="C69" s="806" t="s">
        <v>926</v>
      </c>
      <c r="D69" s="806" t="s">
        <v>926</v>
      </c>
      <c r="E69" s="407"/>
      <c r="F69" s="804" t="s">
        <v>425</v>
      </c>
      <c r="G69" s="405"/>
      <c r="H69" s="407"/>
      <c r="M69" s="405"/>
      <c r="N69" s="407"/>
      <c r="Q69" s="405"/>
    </row>
    <row r="70" spans="1:20" ht="13.5" customHeight="1">
      <c r="A70" s="472"/>
      <c r="B70" s="472"/>
      <c r="C70" s="1083" t="str">
        <f>ppk_nama</f>
        <v>Ika Kurnia Mustika, ST, MT</v>
      </c>
      <c r="D70" s="1084"/>
      <c r="E70" s="407"/>
      <c r="F70" s="405"/>
      <c r="G70" s="405"/>
      <c r="H70" s="407"/>
      <c r="I70" s="1085" t="str">
        <f>_pan1</f>
        <v>Surmayanti Isnaini, S.IP</v>
      </c>
      <c r="J70" s="1085"/>
      <c r="K70" s="1085"/>
      <c r="L70" s="1085"/>
      <c r="M70" s="1085"/>
      <c r="N70" s="1085"/>
      <c r="O70" s="1085"/>
      <c r="P70" s="1085"/>
      <c r="Q70" s="1085"/>
      <c r="R70" s="1085"/>
    </row>
    <row r="71" spans="1:20" ht="13.5" customHeight="1">
      <c r="A71" s="472"/>
      <c r="B71" s="472"/>
      <c r="C71" s="1086" t="str">
        <f>ppk_nip</f>
        <v>19791117 200901 1 006</v>
      </c>
      <c r="D71" s="1087"/>
      <c r="E71" s="407"/>
      <c r="F71" s="405"/>
      <c r="G71" s="405"/>
      <c r="H71" s="407"/>
      <c r="I71" s="1088" t="str">
        <f>pp_nip</f>
        <v>199201122 01406 2 001</v>
      </c>
      <c r="J71" s="1088"/>
      <c r="K71" s="1088"/>
      <c r="L71" s="1088"/>
      <c r="M71" s="1088"/>
      <c r="N71" s="1088"/>
      <c r="O71" s="1088"/>
      <c r="P71" s="1088"/>
      <c r="Q71" s="1088"/>
      <c r="R71" s="1088"/>
    </row>
    <row r="72" spans="1:20" ht="13.5" customHeight="1">
      <c r="A72" s="472"/>
      <c r="B72" s="472"/>
      <c r="C72" s="407"/>
      <c r="D72" s="407"/>
      <c r="E72" s="407"/>
      <c r="F72" s="405"/>
      <c r="G72" s="405"/>
      <c r="H72" s="407"/>
      <c r="M72" s="405"/>
      <c r="N72" s="407"/>
      <c r="Q72" s="405"/>
    </row>
    <row r="73" spans="1:20" ht="13.5" customHeight="1">
      <c r="A73" s="473"/>
      <c r="B73" s="473"/>
      <c r="C73" s="473"/>
      <c r="E73" s="407"/>
      <c r="F73" s="405"/>
      <c r="G73" s="405"/>
      <c r="J73" s="407"/>
      <c r="N73" s="407"/>
      <c r="Q73" s="407"/>
    </row>
    <row r="74" spans="1:20" s="395" customFormat="1" ht="22.5" customHeight="1">
      <c r="A74" s="402"/>
      <c r="B74" s="402"/>
      <c r="C74" s="402"/>
      <c r="D74" s="1034" t="s">
        <v>927</v>
      </c>
      <c r="E74" s="1034"/>
      <c r="F74" s="1034"/>
      <c r="G74" s="1034"/>
      <c r="H74" s="1034"/>
      <c r="I74" s="1034"/>
      <c r="J74" s="1034"/>
      <c r="K74" s="1034"/>
      <c r="L74" s="1034"/>
      <c r="M74" s="1034"/>
      <c r="N74" s="1034"/>
      <c r="O74" s="1034"/>
      <c r="P74" s="1034"/>
      <c r="Q74" s="1034"/>
      <c r="R74" s="1034"/>
    </row>
    <row r="75" spans="1:20" s="395" customFormat="1" ht="38.25" customHeight="1">
      <c r="A75" s="402"/>
      <c r="B75" s="402"/>
      <c r="C75" s="402"/>
      <c r="D75" s="1035" t="str">
        <f>UPPER(ukpbj)</f>
        <v>BADAN PENGELOLAAN KEUANGAN DAN ASET DAERAH</v>
      </c>
      <c r="E75" s="1035"/>
      <c r="F75" s="1035"/>
      <c r="G75" s="1035"/>
      <c r="H75" s="1035"/>
      <c r="I75" s="1035"/>
      <c r="J75" s="1035"/>
      <c r="K75" s="1035"/>
      <c r="L75" s="1035"/>
      <c r="M75" s="1035"/>
      <c r="N75" s="1035"/>
      <c r="O75" s="1035"/>
      <c r="P75" s="1035"/>
      <c r="Q75" s="1035"/>
      <c r="R75" s="1035"/>
    </row>
    <row r="76" spans="1:20" s="395" customFormat="1" ht="14.25">
      <c r="A76" s="403"/>
      <c r="B76" s="403"/>
      <c r="C76" s="403"/>
      <c r="D76" s="1036" t="str">
        <f>opd_almt</f>
        <v>Jalan Pejanggik Nomor 14 Telp.( 0370 ) 627689, 625345 Fax: 627677</v>
      </c>
      <c r="E76" s="1036"/>
      <c r="F76" s="1036"/>
      <c r="G76" s="1036"/>
      <c r="H76" s="1036"/>
      <c r="I76" s="1036"/>
      <c r="J76" s="1036"/>
      <c r="K76" s="1036"/>
      <c r="L76" s="1036"/>
      <c r="M76" s="1036"/>
      <c r="N76" s="1036"/>
      <c r="O76" s="1036"/>
      <c r="P76" s="1036"/>
      <c r="Q76" s="1036"/>
      <c r="R76" s="1036"/>
    </row>
    <row r="77" spans="1:20" s="396" customFormat="1" ht="6" customHeight="1"/>
    <row r="78" spans="1:20" s="18" customFormat="1" ht="15" customHeight="1">
      <c r="A78" s="60" t="s">
        <v>237</v>
      </c>
      <c r="B78" s="60"/>
      <c r="C78" s="60" t="s">
        <v>2</v>
      </c>
      <c r="D78" s="60" t="str">
        <f>Input!D76</f>
        <v>027.1/01.PPK/BPKAD/2025</v>
      </c>
      <c r="E78" s="60"/>
      <c r="F78" s="60"/>
      <c r="G78" s="60"/>
      <c r="H78" s="60"/>
      <c r="J78" s="60"/>
      <c r="Q78"/>
      <c r="T78" s="71" t="s">
        <v>253</v>
      </c>
    </row>
    <row r="79" spans="1:20" s="18" customFormat="1" ht="15" customHeight="1">
      <c r="A79" s="37" t="s">
        <v>267</v>
      </c>
      <c r="B79" s="37"/>
      <c r="C79" s="37" t="s">
        <v>2</v>
      </c>
      <c r="D79" s="37" t="s">
        <v>928</v>
      </c>
      <c r="E79" s="37"/>
      <c r="F79" s="37"/>
      <c r="G79" s="37"/>
      <c r="H79" s="37"/>
      <c r="I79" s="37"/>
      <c r="J79" s="37"/>
      <c r="Q79"/>
    </row>
    <row r="80" spans="1:20" s="18" customFormat="1" ht="30" customHeight="1">
      <c r="A80" s="60" t="s">
        <v>269</v>
      </c>
      <c r="B80" s="60"/>
      <c r="C80" s="60" t="s">
        <v>2</v>
      </c>
      <c r="D80" s="1089" t="str">
        <f>"Penetapan Dokumen Persiapan Pemilihan Penyedia "&amp;paket&amp;" Tahun Anggaran "&amp;tahun</f>
        <v>Penetapan Dokumen Persiapan Pemilihan Penyedia Belanja Pemeliharaan Bangunan Gedung-Bangunan Gedung Tempat Kerja-Bangunan Gedung Kantor-Pemeliharaan Gedung Bertingkat Tahun Anggaran 2025</v>
      </c>
      <c r="E80" s="1089"/>
      <c r="F80" s="1089"/>
      <c r="G80" s="1089"/>
      <c r="H80" s="1089"/>
      <c r="I80" s="1089"/>
      <c r="J80" s="1089"/>
      <c r="K80" s="1089"/>
      <c r="L80" s="1089"/>
      <c r="M80" s="1089"/>
      <c r="N80" s="1089"/>
      <c r="O80" s="1089"/>
      <c r="P80" s="1089"/>
      <c r="Q80" s="1089"/>
      <c r="R80" s="1089"/>
    </row>
    <row r="81" spans="1:20" s="18" customFormat="1" ht="14.25"/>
    <row r="82" spans="1:20" customFormat="1" ht="15" customHeight="1">
      <c r="A82" s="890" t="str">
        <f>"Pada hari ini, "&amp;TEXT(Input!H79,"[$-421]dddd, d mmmm yyyy")&amp;", telah dilakukan  penetapan Dokumen Pemilihan untuk paket pekerjaan "&amp;paket&amp;" sebagai berikut:"</f>
        <v>Pada hari ini, Kamis, 2 Oktober 2025, telah dilakukan  penetapan Dokumen Pemilihan untuk paket pekerjaan Belanja Pemeliharaan Bangunan Gedung-Bangunan Gedung Tempat Kerja-Bangunan Gedung Kantor-Pemeliharaan Gedung Bertingkat sebagai berikut:</v>
      </c>
      <c r="B82" s="890"/>
      <c r="C82" s="890"/>
      <c r="D82" s="890"/>
      <c r="E82" s="890"/>
      <c r="F82" s="890"/>
      <c r="G82" s="890"/>
      <c r="H82" s="890"/>
      <c r="I82" s="890"/>
      <c r="J82" s="890"/>
      <c r="K82" s="890"/>
      <c r="L82" s="890"/>
      <c r="M82" s="890"/>
      <c r="N82" s="890"/>
      <c r="O82" s="890"/>
      <c r="P82" s="890"/>
      <c r="Q82" s="890"/>
      <c r="R82" s="890"/>
    </row>
    <row r="83" spans="1:20" s="396" customFormat="1" ht="15.75" customHeight="1">
      <c r="A83" s="890"/>
      <c r="B83" s="890"/>
      <c r="C83" s="890"/>
      <c r="D83" s="890"/>
      <c r="E83" s="890"/>
      <c r="F83" s="890"/>
      <c r="G83" s="890"/>
      <c r="H83" s="890"/>
      <c r="I83" s="890"/>
      <c r="J83" s="890"/>
      <c r="K83" s="890"/>
      <c r="L83" s="890"/>
      <c r="M83" s="890"/>
      <c r="N83" s="890"/>
      <c r="O83" s="890"/>
      <c r="P83" s="890"/>
      <c r="Q83" s="890"/>
      <c r="R83" s="890"/>
    </row>
    <row r="84" spans="1:20" s="396" customFormat="1">
      <c r="A84" s="474"/>
      <c r="B84" s="475"/>
      <c r="C84" s="475"/>
      <c r="D84" s="401"/>
      <c r="E84" s="401"/>
      <c r="F84" s="401"/>
      <c r="G84" s="401"/>
      <c r="H84" s="401"/>
      <c r="I84" s="401"/>
      <c r="J84" s="401"/>
      <c r="K84" s="401"/>
      <c r="L84" s="401"/>
      <c r="M84" s="401"/>
      <c r="N84" s="401"/>
      <c r="O84" s="401"/>
      <c r="P84" s="401"/>
      <c r="Q84" s="401"/>
      <c r="R84" s="505"/>
    </row>
    <row r="85" spans="1:20" s="396" customFormat="1" ht="3" customHeight="1">
      <c r="A85" s="476"/>
      <c r="B85" s="397"/>
      <c r="C85" s="397"/>
      <c r="D85" s="397"/>
      <c r="E85" s="397"/>
      <c r="F85" s="397"/>
      <c r="G85" s="477"/>
      <c r="H85" s="477"/>
      <c r="I85" s="477"/>
      <c r="J85" s="401"/>
      <c r="K85" s="401"/>
      <c r="L85" s="401"/>
      <c r="M85" s="401"/>
      <c r="N85" s="401"/>
      <c r="O85" s="401"/>
      <c r="P85" s="401"/>
      <c r="Q85" s="401"/>
      <c r="R85" s="505"/>
    </row>
    <row r="86" spans="1:20" s="396" customFormat="1" ht="14.55" customHeight="1">
      <c r="A86" s="478" t="s">
        <v>270</v>
      </c>
      <c r="B86" s="479" t="s">
        <v>929</v>
      </c>
      <c r="C86" s="397"/>
      <c r="D86" s="397"/>
      <c r="E86" s="397"/>
      <c r="F86" s="397"/>
      <c r="G86" s="477"/>
      <c r="H86" s="477"/>
      <c r="I86" s="477"/>
      <c r="J86" s="401"/>
      <c r="K86" s="401"/>
      <c r="L86" s="401"/>
      <c r="M86" s="401"/>
      <c r="N86" s="401"/>
      <c r="O86" s="401"/>
      <c r="P86" s="401"/>
      <c r="Q86" s="401"/>
      <c r="R86" s="505"/>
      <c r="T86" s="396" t="s">
        <v>930</v>
      </c>
    </row>
    <row r="87" spans="1:20" ht="14.55" customHeight="1">
      <c r="A87" s="480"/>
      <c r="B87" s="481" t="s">
        <v>258</v>
      </c>
      <c r="C87" s="482"/>
      <c r="D87" s="1090" t="s">
        <v>859</v>
      </c>
      <c r="E87" s="1090"/>
      <c r="F87" s="1090"/>
      <c r="G87" s="1090"/>
      <c r="H87" s="1090"/>
      <c r="I87" s="1090"/>
      <c r="J87" s="1090"/>
      <c r="K87" s="1090"/>
      <c r="L87" s="1090"/>
      <c r="M87" s="1090"/>
      <c r="N87" s="1090"/>
      <c r="O87" s="1090"/>
      <c r="P87" s="1090"/>
      <c r="Q87" s="1090"/>
      <c r="R87" s="1091"/>
      <c r="T87" s="396" t="s">
        <v>931</v>
      </c>
    </row>
    <row r="88" spans="1:20" ht="15" customHeight="1">
      <c r="A88" s="483"/>
      <c r="B88" s="484">
        <v>1</v>
      </c>
      <c r="C88" s="485" t="s">
        <v>932</v>
      </c>
      <c r="D88" s="486"/>
      <c r="E88" s="407" t="s">
        <v>2</v>
      </c>
      <c r="F88" s="1092" t="s">
        <v>933</v>
      </c>
      <c r="G88" s="1092"/>
      <c r="H88" s="1092"/>
      <c r="I88" s="1092"/>
      <c r="J88" s="1092"/>
      <c r="K88" s="1092"/>
      <c r="L88" s="1092"/>
      <c r="Q88" s="405"/>
      <c r="R88" s="460"/>
    </row>
    <row r="89" spans="1:20" ht="15" customHeight="1">
      <c r="A89" s="483"/>
      <c r="B89" s="484">
        <v>2</v>
      </c>
      <c r="C89" s="407" t="s">
        <v>103</v>
      </c>
      <c r="D89" s="487"/>
      <c r="E89" s="407" t="s">
        <v>2</v>
      </c>
      <c r="F89" s="1093" t="s">
        <v>104</v>
      </c>
      <c r="G89" s="1093"/>
      <c r="H89" s="1093"/>
      <c r="I89" s="1093"/>
      <c r="J89" s="1093"/>
      <c r="K89" s="1093"/>
      <c r="L89" s="1093"/>
      <c r="Q89" s="405"/>
      <c r="R89" s="460"/>
    </row>
    <row r="90" spans="1:20" ht="15" customHeight="1">
      <c r="A90" s="483"/>
      <c r="B90" s="484">
        <v>3</v>
      </c>
      <c r="C90" s="407" t="s">
        <v>934</v>
      </c>
      <c r="D90" s="487"/>
      <c r="E90" s="407" t="s">
        <v>2</v>
      </c>
      <c r="F90" s="1093" t="s">
        <v>935</v>
      </c>
      <c r="G90" s="1093"/>
      <c r="H90" s="1093"/>
      <c r="I90" s="1093"/>
      <c r="J90" s="1093"/>
      <c r="K90" s="1093"/>
      <c r="L90" s="1093"/>
      <c r="Q90" s="405"/>
      <c r="R90" s="460"/>
    </row>
    <row r="91" spans="1:20" ht="15" customHeight="1">
      <c r="A91" s="483"/>
      <c r="B91" s="484">
        <v>4</v>
      </c>
      <c r="C91" s="407" t="s">
        <v>936</v>
      </c>
      <c r="D91" s="487"/>
      <c r="E91" s="407" t="s">
        <v>2</v>
      </c>
      <c r="F91" s="1093" t="s">
        <v>106</v>
      </c>
      <c r="G91" s="1093"/>
      <c r="H91" s="1093"/>
      <c r="I91" s="1093"/>
      <c r="J91" s="1093"/>
      <c r="K91" s="1093"/>
      <c r="L91" s="1093"/>
      <c r="Q91" s="405"/>
      <c r="R91" s="460"/>
    </row>
    <row r="92" spans="1:20" ht="15" hidden="1" customHeight="1">
      <c r="A92" s="483"/>
      <c r="B92" s="484">
        <v>5</v>
      </c>
      <c r="C92" s="407" t="s">
        <v>937</v>
      </c>
      <c r="D92" s="487"/>
      <c r="E92" s="407" t="s">
        <v>2</v>
      </c>
      <c r="F92" s="1078"/>
      <c r="G92" s="1078"/>
      <c r="H92" s="1078"/>
      <c r="I92" s="1078"/>
      <c r="J92" s="1078"/>
      <c r="K92" s="1078"/>
      <c r="L92" s="1078"/>
      <c r="M92" s="1078"/>
      <c r="N92" s="1078"/>
      <c r="O92" s="1078"/>
      <c r="P92" s="1078"/>
      <c r="Q92" s="1078"/>
      <c r="R92" s="1079"/>
      <c r="T92" s="506" t="str">
        <f>"unhide row "&amp;S93&amp;" - "&amp;S104&amp;" kalau perlu diisi manual, bukan lewat aplikasi"</f>
        <v>unhide row 93 - 104 kalau perlu diisi manual, bukan lewat aplikasi</v>
      </c>
    </row>
    <row r="93" spans="1:20" ht="15" hidden="1" customHeight="1">
      <c r="A93" s="483"/>
      <c r="B93" s="484"/>
      <c r="C93" s="400" t="s">
        <v>938</v>
      </c>
      <c r="D93" s="487" t="s">
        <v>939</v>
      </c>
      <c r="E93" s="407" t="s">
        <v>2</v>
      </c>
      <c r="F93" s="1094">
        <v>45737</v>
      </c>
      <c r="G93" s="1094"/>
      <c r="H93" s="1094"/>
      <c r="I93" s="1094"/>
      <c r="J93" s="1094"/>
      <c r="K93" s="1094"/>
      <c r="L93" s="807" t="s">
        <v>940</v>
      </c>
      <c r="M93" s="502"/>
      <c r="N93" s="1094">
        <v>45743</v>
      </c>
      <c r="O93" s="1094"/>
      <c r="P93" s="1094"/>
      <c r="Q93" s="1094"/>
      <c r="R93" s="1095"/>
      <c r="S93" s="507">
        <f>ROW(A93)</f>
        <v>93</v>
      </c>
      <c r="T93" s="502"/>
    </row>
    <row r="94" spans="1:20" ht="30" hidden="1" customHeight="1">
      <c r="A94" s="483"/>
      <c r="B94" s="484"/>
      <c r="C94" s="400" t="s">
        <v>941</v>
      </c>
      <c r="D94" s="487" t="s">
        <v>942</v>
      </c>
      <c r="E94" s="407" t="s">
        <v>2</v>
      </c>
      <c r="F94" s="1094">
        <f>F93</f>
        <v>45737</v>
      </c>
      <c r="G94" s="1094"/>
      <c r="H94" s="1094"/>
      <c r="I94" s="1094"/>
      <c r="J94" s="1094"/>
      <c r="K94" s="1094"/>
      <c r="L94" s="502" t="s">
        <v>940</v>
      </c>
      <c r="M94" s="407"/>
      <c r="N94" s="1094">
        <f>N93</f>
        <v>45743</v>
      </c>
      <c r="O94" s="1094"/>
      <c r="P94" s="1094"/>
      <c r="Q94" s="1094"/>
      <c r="R94" s="1095"/>
      <c r="T94" s="502"/>
    </row>
    <row r="95" spans="1:20" ht="15" hidden="1" customHeight="1">
      <c r="A95" s="483"/>
      <c r="B95" s="484"/>
      <c r="C95" s="400" t="s">
        <v>943</v>
      </c>
      <c r="D95" s="487" t="s">
        <v>944</v>
      </c>
      <c r="E95" s="407" t="s">
        <v>2</v>
      </c>
      <c r="F95" s="1094">
        <v>45741</v>
      </c>
      <c r="G95" s="1094"/>
      <c r="H95" s="1094"/>
      <c r="I95" s="1094"/>
      <c r="J95" s="1094"/>
      <c r="K95" s="1094"/>
      <c r="L95" s="502" t="s">
        <v>945</v>
      </c>
      <c r="M95" s="502"/>
      <c r="N95" s="503"/>
      <c r="O95" s="503"/>
      <c r="P95" s="503"/>
      <c r="Q95" s="503"/>
      <c r="R95" s="508"/>
      <c r="T95" s="502"/>
    </row>
    <row r="96" spans="1:20" ht="15" hidden="1" customHeight="1">
      <c r="A96" s="483"/>
      <c r="B96" s="484"/>
      <c r="C96" s="400" t="s">
        <v>946</v>
      </c>
      <c r="D96" s="487" t="s">
        <v>947</v>
      </c>
      <c r="E96" s="407" t="s">
        <v>2</v>
      </c>
      <c r="F96" s="1094">
        <v>45755</v>
      </c>
      <c r="G96" s="1094"/>
      <c r="H96" s="1094"/>
      <c r="I96" s="1094"/>
      <c r="J96" s="1094"/>
      <c r="K96" s="1094"/>
      <c r="L96" s="502" t="s">
        <v>940</v>
      </c>
      <c r="M96" s="502"/>
      <c r="N96" s="1096">
        <v>45757.416666666701</v>
      </c>
      <c r="O96" s="1096"/>
      <c r="P96" s="1096"/>
      <c r="Q96" s="1096"/>
      <c r="R96" s="1097"/>
      <c r="T96" s="502"/>
    </row>
    <row r="97" spans="1:20" ht="17.25" hidden="1" customHeight="1">
      <c r="A97" s="483"/>
      <c r="B97" s="484"/>
      <c r="D97" s="487"/>
      <c r="E97" s="407"/>
      <c r="F97" s="1094" t="s">
        <v>948</v>
      </c>
      <c r="G97" s="1094"/>
      <c r="H97" s="1094"/>
      <c r="I97" s="1094"/>
      <c r="J97" s="1094"/>
      <c r="K97" s="1094"/>
      <c r="L97" s="1094"/>
      <c r="M97" s="1094"/>
      <c r="N97" s="1094"/>
      <c r="O97" s="1094"/>
      <c r="P97" s="1094"/>
      <c r="Q97" s="1094"/>
      <c r="R97" s="1095"/>
      <c r="T97" s="502"/>
    </row>
    <row r="98" spans="1:20" ht="15" hidden="1" customHeight="1">
      <c r="A98" s="483"/>
      <c r="B98" s="484"/>
      <c r="C98" s="400" t="s">
        <v>949</v>
      </c>
      <c r="D98" s="487" t="s">
        <v>950</v>
      </c>
      <c r="E98" s="407" t="s">
        <v>2</v>
      </c>
      <c r="F98" s="1098">
        <f>N96+0.004</f>
        <v>45757.420666666701</v>
      </c>
      <c r="G98" s="1098"/>
      <c r="H98" s="1098"/>
      <c r="I98" s="1098"/>
      <c r="J98" s="1098"/>
      <c r="K98" s="1098"/>
      <c r="L98" s="1098"/>
      <c r="M98" s="1098"/>
      <c r="N98" s="1098"/>
      <c r="O98" s="1098"/>
      <c r="P98" s="1098"/>
      <c r="Q98" s="1098"/>
      <c r="R98" s="1099"/>
      <c r="T98" s="502"/>
    </row>
    <row r="99" spans="1:20" ht="15" hidden="1" customHeight="1">
      <c r="A99" s="483"/>
      <c r="B99" s="484"/>
      <c r="C99" s="400" t="s">
        <v>951</v>
      </c>
      <c r="D99" s="487" t="s">
        <v>952</v>
      </c>
      <c r="E99" s="407" t="s">
        <v>2</v>
      </c>
      <c r="F99" s="1094">
        <v>45757</v>
      </c>
      <c r="G99" s="1094"/>
      <c r="H99" s="1094"/>
      <c r="I99" s="1094"/>
      <c r="J99" s="1094"/>
      <c r="K99" s="1094"/>
      <c r="L99" s="502" t="s">
        <v>940</v>
      </c>
      <c r="M99" s="502"/>
      <c r="N99" s="1094">
        <v>45763</v>
      </c>
      <c r="O99" s="1094"/>
      <c r="P99" s="1094"/>
      <c r="Q99" s="1094"/>
      <c r="R99" s="1095"/>
      <c r="T99" s="502"/>
    </row>
    <row r="100" spans="1:20" ht="30" hidden="1" customHeight="1">
      <c r="A100" s="483"/>
      <c r="B100" s="484"/>
      <c r="C100" s="400" t="s">
        <v>953</v>
      </c>
      <c r="D100" s="487" t="s">
        <v>954</v>
      </c>
      <c r="E100" s="407" t="s">
        <v>2</v>
      </c>
      <c r="F100" s="1094">
        <v>45762</v>
      </c>
      <c r="G100" s="1094"/>
      <c r="H100" s="1094"/>
      <c r="I100" s="1094"/>
      <c r="J100" s="1094"/>
      <c r="K100" s="1094"/>
      <c r="L100" s="502" t="s">
        <v>940</v>
      </c>
      <c r="M100" s="502"/>
      <c r="N100" s="1094">
        <v>45763</v>
      </c>
      <c r="O100" s="1094"/>
      <c r="P100" s="1094"/>
      <c r="Q100" s="1094"/>
      <c r="R100" s="1095"/>
      <c r="T100" s="502"/>
    </row>
    <row r="101" spans="1:20" ht="30" hidden="1" customHeight="1">
      <c r="A101" s="483"/>
      <c r="B101" s="484"/>
      <c r="C101" s="400" t="s">
        <v>955</v>
      </c>
      <c r="D101" s="487" t="s">
        <v>956</v>
      </c>
      <c r="E101" s="407" t="s">
        <v>2</v>
      </c>
      <c r="F101" s="1094">
        <v>45763</v>
      </c>
      <c r="G101" s="1094"/>
      <c r="H101" s="1094"/>
      <c r="I101" s="1094"/>
      <c r="J101" s="1094"/>
      <c r="K101" s="1094"/>
      <c r="L101" s="502"/>
      <c r="M101" s="502"/>
      <c r="N101" s="1094"/>
      <c r="O101" s="1094"/>
      <c r="P101" s="1094"/>
      <c r="Q101" s="1094"/>
      <c r="R101" s="1095"/>
      <c r="T101" s="502"/>
    </row>
    <row r="102" spans="1:20" ht="15" hidden="1" customHeight="1">
      <c r="A102" s="483"/>
      <c r="B102" s="484"/>
      <c r="C102" s="400" t="s">
        <v>957</v>
      </c>
      <c r="D102" s="487" t="s">
        <v>958</v>
      </c>
      <c r="E102" s="407" t="s">
        <v>2</v>
      </c>
      <c r="F102" s="1094">
        <f>F101+1</f>
        <v>45764</v>
      </c>
      <c r="G102" s="1094"/>
      <c r="H102" s="1094"/>
      <c r="I102" s="1094"/>
      <c r="J102" s="1094"/>
      <c r="K102" s="1094"/>
      <c r="L102" s="502" t="s">
        <v>940</v>
      </c>
      <c r="M102" s="502"/>
      <c r="N102" s="1098">
        <v>45768.625</v>
      </c>
      <c r="O102" s="1098"/>
      <c r="P102" s="1098"/>
      <c r="Q102" s="1098"/>
      <c r="R102" s="1099"/>
      <c r="T102" s="502"/>
    </row>
    <row r="103" spans="1:20" ht="15" hidden="1" customHeight="1">
      <c r="A103" s="483"/>
      <c r="B103" s="484"/>
      <c r="C103" s="400" t="s">
        <v>959</v>
      </c>
      <c r="D103" s="487" t="s">
        <v>960</v>
      </c>
      <c r="E103" s="407" t="s">
        <v>2</v>
      </c>
      <c r="F103" s="1094">
        <v>45769</v>
      </c>
      <c r="G103" s="1094"/>
      <c r="H103" s="1094"/>
      <c r="I103" s="1094"/>
      <c r="J103" s="1094"/>
      <c r="K103" s="1094"/>
      <c r="L103" s="502"/>
      <c r="M103" s="502"/>
      <c r="N103" s="1094"/>
      <c r="O103" s="1094"/>
      <c r="P103" s="1094"/>
      <c r="Q103" s="1094"/>
      <c r="R103" s="1095"/>
      <c r="T103" s="502"/>
    </row>
    <row r="104" spans="1:20" ht="15" hidden="1" customHeight="1">
      <c r="A104" s="483"/>
      <c r="B104" s="484"/>
      <c r="C104" s="450"/>
      <c r="D104" s="449"/>
      <c r="E104" s="450"/>
      <c r="F104" s="450"/>
      <c r="G104" s="450"/>
      <c r="H104" s="450"/>
      <c r="I104" s="450"/>
      <c r="J104" s="450"/>
      <c r="K104" s="450"/>
      <c r="L104" s="397"/>
      <c r="M104" s="397"/>
      <c r="N104" s="397"/>
      <c r="O104" s="397"/>
      <c r="P104" s="397"/>
      <c r="Q104" s="450"/>
      <c r="R104" s="509"/>
      <c r="S104" s="510">
        <f>ROW(A104)</f>
        <v>104</v>
      </c>
    </row>
    <row r="105" spans="1:20" ht="15" customHeight="1">
      <c r="A105" s="483"/>
      <c r="B105" s="484">
        <v>5</v>
      </c>
      <c r="C105" s="450" t="s">
        <v>961</v>
      </c>
      <c r="D105" s="449"/>
      <c r="E105" s="450"/>
      <c r="F105" s="450"/>
      <c r="G105" s="450"/>
      <c r="H105" s="450"/>
      <c r="I105" s="450"/>
      <c r="J105" s="450"/>
      <c r="K105" s="450"/>
      <c r="L105" s="397"/>
      <c r="M105" s="397"/>
      <c r="N105" s="397"/>
      <c r="O105" s="397"/>
      <c r="P105" s="397"/>
      <c r="Q105" s="450"/>
      <c r="R105" s="509"/>
    </row>
    <row r="106" spans="1:20" ht="15" customHeight="1">
      <c r="A106" s="483"/>
      <c r="B106" s="488"/>
      <c r="C106" s="808" t="s">
        <v>280</v>
      </c>
      <c r="D106" s="450" t="s">
        <v>962</v>
      </c>
      <c r="E106" s="449" t="s">
        <v>2</v>
      </c>
      <c r="F106" s="1100" t="str">
        <f>IF(AND(F19="Pekerjaan Konstruksi",T106&gt;G106),ROUNDUP(F29/50,-6),"Tidak disyaratkan")</f>
        <v>Tidak disyaratkan</v>
      </c>
      <c r="G106" s="1100"/>
      <c r="H106" s="1100"/>
      <c r="I106" s="1100"/>
      <c r="J106" s="1100"/>
      <c r="K106" s="1100"/>
      <c r="L106" s="1100"/>
      <c r="M106" s="1100"/>
      <c r="N106" s="1100"/>
      <c r="O106" s="1100"/>
      <c r="P106" s="1100"/>
      <c r="Q106" s="1100"/>
      <c r="R106" s="1101"/>
      <c r="T106" s="511">
        <v>10000000000</v>
      </c>
    </row>
    <row r="107" spans="1:20" ht="15" customHeight="1">
      <c r="A107" s="483"/>
      <c r="B107" s="488"/>
      <c r="C107" s="808" t="s">
        <v>280</v>
      </c>
      <c r="D107" s="450" t="s">
        <v>963</v>
      </c>
      <c r="E107" s="449" t="s">
        <v>2</v>
      </c>
      <c r="F107" s="1100" t="str">
        <f>IF(F19="Pekerjaan Konstruksi",F29/100,"Tidak disyaratkan")</f>
        <v>Tidak disyaratkan</v>
      </c>
      <c r="G107" s="1100"/>
      <c r="H107" s="1100"/>
      <c r="I107" s="1100"/>
      <c r="J107" s="1100"/>
      <c r="K107" s="1100"/>
      <c r="L107" s="1100"/>
      <c r="M107" s="1100"/>
      <c r="N107" s="1100"/>
      <c r="O107" s="1100"/>
      <c r="P107" s="1100"/>
      <c r="Q107" s="1100"/>
      <c r="R107" s="1101"/>
    </row>
    <row r="108" spans="1:20" ht="15" customHeight="1">
      <c r="A108" s="483"/>
      <c r="B108" s="488"/>
      <c r="C108" s="808" t="s">
        <v>280</v>
      </c>
      <c r="D108" s="450" t="s">
        <v>964</v>
      </c>
      <c r="E108" s="449" t="s">
        <v>2</v>
      </c>
      <c r="F108" s="1100" t="str">
        <f>IF(AND(F19="Barang",F29&gt;T108),"TKDN diperhitungkan dengan nilai preferensi 25%","TKDN tidak diperhitungkan")</f>
        <v>TKDN tidak diperhitungkan</v>
      </c>
      <c r="G108" s="1100"/>
      <c r="H108" s="1100"/>
      <c r="I108" s="1100"/>
      <c r="J108" s="1100"/>
      <c r="K108" s="1100"/>
      <c r="L108" s="1100"/>
      <c r="M108" s="1100"/>
      <c r="N108" s="1100"/>
      <c r="O108" s="1100"/>
      <c r="P108" s="1100"/>
      <c r="Q108" s="1100"/>
      <c r="R108" s="1101"/>
      <c r="T108" s="511">
        <v>1000000000</v>
      </c>
    </row>
    <row r="109" spans="1:20" ht="15" hidden="1" customHeight="1">
      <c r="A109" s="483">
        <v>7</v>
      </c>
      <c r="B109" s="488"/>
      <c r="C109" s="489" t="s">
        <v>965</v>
      </c>
      <c r="D109" s="490"/>
      <c r="E109" s="450"/>
      <c r="F109" s="450"/>
      <c r="G109" s="450"/>
      <c r="H109" s="450"/>
      <c r="I109" s="450"/>
      <c r="J109" s="450"/>
      <c r="K109" s="450"/>
      <c r="L109" s="397"/>
      <c r="M109" s="397"/>
      <c r="N109" s="397"/>
      <c r="O109" s="397"/>
      <c r="P109" s="397"/>
      <c r="Q109" s="450"/>
      <c r="R109" s="509"/>
    </row>
    <row r="110" spans="1:20" hidden="1">
      <c r="A110" s="491"/>
      <c r="B110" s="448"/>
      <c r="C110" s="809" t="s">
        <v>280</v>
      </c>
      <c r="D110" s="1108" t="s">
        <v>966</v>
      </c>
      <c r="E110" s="1108"/>
      <c r="F110" s="1108"/>
      <c r="G110" s="1108"/>
      <c r="H110" s="1108"/>
      <c r="I110" s="1108"/>
      <c r="J110" s="1108"/>
      <c r="K110" s="1108"/>
      <c r="L110" s="1108"/>
      <c r="M110" s="1108"/>
      <c r="N110" s="1108"/>
      <c r="O110" s="1108"/>
      <c r="P110" s="1108"/>
      <c r="Q110" s="1108"/>
      <c r="R110" s="1109"/>
    </row>
    <row r="111" spans="1:20" ht="49.35" hidden="1" customHeight="1">
      <c r="A111" s="491"/>
      <c r="B111" s="448"/>
      <c r="C111" s="809" t="s">
        <v>280</v>
      </c>
      <c r="D111" s="1108" t="s">
        <v>967</v>
      </c>
      <c r="E111" s="1108"/>
      <c r="F111" s="1108"/>
      <c r="G111" s="1108"/>
      <c r="H111" s="1108"/>
      <c r="I111" s="1108"/>
      <c r="J111" s="1108"/>
      <c r="K111" s="1108"/>
      <c r="L111" s="1108"/>
      <c r="M111" s="1108"/>
      <c r="N111" s="1108"/>
      <c r="O111" s="1108"/>
      <c r="P111" s="1108"/>
      <c r="Q111" s="1108"/>
      <c r="R111" s="1109"/>
    </row>
    <row r="112" spans="1:20" ht="33" hidden="1" customHeight="1">
      <c r="A112" s="491"/>
      <c r="B112" s="448"/>
      <c r="C112" s="492"/>
      <c r="D112" s="1108" t="s">
        <v>968</v>
      </c>
      <c r="E112" s="1108"/>
      <c r="F112" s="1108"/>
      <c r="G112" s="1108"/>
      <c r="H112" s="1108"/>
      <c r="I112" s="1108"/>
      <c r="J112" s="1108"/>
      <c r="K112" s="1108"/>
      <c r="L112" s="1108"/>
      <c r="M112" s="1108"/>
      <c r="N112" s="1108"/>
      <c r="O112" s="1108"/>
      <c r="P112" s="1108"/>
      <c r="Q112" s="1108"/>
      <c r="R112" s="1109"/>
    </row>
    <row r="113" spans="1:20" ht="33" hidden="1" customHeight="1">
      <c r="A113" s="491"/>
      <c r="B113" s="448"/>
      <c r="C113" s="809" t="s">
        <v>280</v>
      </c>
      <c r="D113" s="1108" t="s">
        <v>969</v>
      </c>
      <c r="E113" s="1108"/>
      <c r="F113" s="1108"/>
      <c r="G113" s="1108"/>
      <c r="H113" s="1108"/>
      <c r="I113" s="1108"/>
      <c r="J113" s="1108"/>
      <c r="K113" s="1108"/>
      <c r="L113" s="1108"/>
      <c r="M113" s="1108"/>
      <c r="N113" s="1108"/>
      <c r="O113" s="1108"/>
      <c r="P113" s="1108"/>
      <c r="Q113" s="1108"/>
      <c r="R113" s="1109"/>
    </row>
    <row r="114" spans="1:20" ht="50.1" hidden="1" customHeight="1">
      <c r="A114" s="491"/>
      <c r="B114" s="448"/>
      <c r="C114" s="492"/>
      <c r="D114" s="1108" t="s">
        <v>970</v>
      </c>
      <c r="E114" s="1108"/>
      <c r="F114" s="1108"/>
      <c r="G114" s="1108"/>
      <c r="H114" s="1108"/>
      <c r="I114" s="1108"/>
      <c r="J114" s="1108"/>
      <c r="K114" s="1108"/>
      <c r="L114" s="1108"/>
      <c r="M114" s="1108"/>
      <c r="N114" s="1108"/>
      <c r="O114" s="1108"/>
      <c r="P114" s="1108"/>
      <c r="Q114" s="1108"/>
      <c r="R114" s="1109"/>
    </row>
    <row r="115" spans="1:20" ht="33" hidden="1" customHeight="1">
      <c r="A115" s="491"/>
      <c r="B115" s="448"/>
      <c r="C115" s="809" t="s">
        <v>280</v>
      </c>
      <c r="D115" s="1108" t="s">
        <v>971</v>
      </c>
      <c r="E115" s="1108"/>
      <c r="F115" s="1108"/>
      <c r="G115" s="1108"/>
      <c r="H115" s="1108"/>
      <c r="I115" s="1108"/>
      <c r="J115" s="1108"/>
      <c r="K115" s="1108"/>
      <c r="L115" s="1108"/>
      <c r="M115" s="1108"/>
      <c r="N115" s="1108"/>
      <c r="O115" s="1108"/>
      <c r="P115" s="1108"/>
      <c r="Q115" s="1108"/>
      <c r="R115" s="1109"/>
    </row>
    <row r="116" spans="1:20" ht="48.6" hidden="1" customHeight="1">
      <c r="A116" s="491"/>
      <c r="B116" s="448"/>
      <c r="C116" s="809" t="s">
        <v>280</v>
      </c>
      <c r="D116" s="1108" t="s">
        <v>972</v>
      </c>
      <c r="E116" s="1108"/>
      <c r="F116" s="1108"/>
      <c r="G116" s="1108"/>
      <c r="H116" s="1108"/>
      <c r="I116" s="1108"/>
      <c r="J116" s="1108"/>
      <c r="K116" s="1108"/>
      <c r="L116" s="1108"/>
      <c r="M116" s="1108"/>
      <c r="N116" s="1108"/>
      <c r="O116" s="1108"/>
      <c r="P116" s="1108"/>
      <c r="Q116" s="1108"/>
      <c r="R116" s="1109"/>
    </row>
    <row r="117" spans="1:20" ht="15" customHeight="1">
      <c r="A117" s="491"/>
      <c r="B117" s="493"/>
      <c r="C117" s="494"/>
      <c r="D117" s="1139"/>
      <c r="E117" s="1139"/>
      <c r="F117" s="1139"/>
      <c r="G117" s="1139"/>
      <c r="H117" s="1139"/>
      <c r="I117" s="1139"/>
      <c r="J117" s="1139"/>
      <c r="K117" s="1139"/>
      <c r="L117" s="1139"/>
      <c r="M117" s="1139"/>
      <c r="N117" s="1139"/>
      <c r="O117" s="1139"/>
      <c r="P117" s="1139"/>
      <c r="Q117" s="1139"/>
      <c r="R117" s="1140"/>
    </row>
    <row r="118" spans="1:20">
      <c r="D118" s="405"/>
      <c r="E118" s="405"/>
      <c r="F118" s="405"/>
      <c r="G118" s="405"/>
    </row>
    <row r="119" spans="1:20" s="396" customFormat="1" ht="14.55" customHeight="1">
      <c r="A119" s="478" t="s">
        <v>285</v>
      </c>
      <c r="B119" s="479" t="s">
        <v>973</v>
      </c>
      <c r="C119" s="397"/>
      <c r="D119" s="397"/>
      <c r="E119" s="397"/>
      <c r="F119" s="397"/>
      <c r="G119" s="477"/>
      <c r="H119" s="477"/>
      <c r="I119" s="477"/>
      <c r="J119" s="401"/>
      <c r="K119" s="401"/>
      <c r="L119" s="401"/>
      <c r="M119" s="401"/>
      <c r="N119" s="401"/>
      <c r="O119" s="401"/>
      <c r="P119" s="401"/>
      <c r="Q119" s="401"/>
      <c r="R119" s="505"/>
      <c r="S119" s="512"/>
      <c r="T119" s="513" t="str">
        <f>"unhide row "&amp;S121&amp;" - "&amp;S127&amp;" kalau jadwal perlu diisi manual"</f>
        <v>unhide row 121 - 127 kalau jadwal perlu diisi manual</v>
      </c>
    </row>
    <row r="120" spans="1:20" s="396" customFormat="1" ht="14.55" customHeight="1">
      <c r="A120" s="495"/>
      <c r="B120" s="397" t="s">
        <v>974</v>
      </c>
      <c r="C120" s="397"/>
      <c r="D120" s="397"/>
      <c r="E120" s="397"/>
      <c r="F120" s="397"/>
      <c r="G120" s="477"/>
      <c r="H120" s="477"/>
      <c r="I120" s="477"/>
      <c r="J120" s="401"/>
      <c r="K120" s="401"/>
      <c r="L120" s="401"/>
      <c r="M120" s="401"/>
      <c r="N120" s="401"/>
      <c r="O120" s="401"/>
      <c r="P120" s="401"/>
      <c r="Q120" s="401"/>
      <c r="R120" s="401"/>
      <c r="S120" s="512"/>
      <c r="T120" s="513"/>
    </row>
    <row r="121" spans="1:20" s="399" customFormat="1" ht="15" hidden="1" customHeight="1">
      <c r="A121" s="496"/>
      <c r="B121" s="497" t="s">
        <v>258</v>
      </c>
      <c r="C121" s="1141" t="s">
        <v>975</v>
      </c>
      <c r="D121" s="1142"/>
      <c r="E121" s="1142"/>
      <c r="F121" s="1142"/>
      <c r="G121" s="1141" t="s">
        <v>976</v>
      </c>
      <c r="H121" s="1142"/>
      <c r="I121" s="1142"/>
      <c r="J121" s="1142"/>
      <c r="K121" s="1142"/>
      <c r="L121" s="1142"/>
      <c r="M121" s="1142"/>
      <c r="N121" s="1143"/>
      <c r="O121" s="1144" t="s">
        <v>977</v>
      </c>
      <c r="P121" s="1145"/>
      <c r="Q121" s="1145"/>
      <c r="R121" s="1146"/>
      <c r="S121" s="514">
        <f>ROW(B121)</f>
        <v>121</v>
      </c>
      <c r="T121" s="515"/>
    </row>
    <row r="122" spans="1:20" s="399" customFormat="1" ht="15" hidden="1" customHeight="1">
      <c r="A122" s="496"/>
      <c r="B122" s="498">
        <v>1</v>
      </c>
      <c r="C122" s="1130" t="s">
        <v>978</v>
      </c>
      <c r="D122" s="1131"/>
      <c r="E122" s="1131"/>
      <c r="F122" s="1131"/>
      <c r="G122" s="1113" t="str">
        <f>Input!E81&amp;", "&amp;Input!H81&amp;" s.d. "&amp;Input!E83&amp;", "&amp;Input!H83</f>
        <v>Selasa, 25 Juli 2023 s.d. Selasa, 1 Agustus 2023</v>
      </c>
      <c r="H122" s="1114"/>
      <c r="I122" s="1114"/>
      <c r="J122" s="1114"/>
      <c r="K122" s="1114"/>
      <c r="L122" s="1114"/>
      <c r="M122" s="1114"/>
      <c r="N122" s="1115"/>
      <c r="O122" s="1102" t="str">
        <f>"s.d. "&amp;Input!G116</f>
        <v xml:space="preserve">s.d. </v>
      </c>
      <c r="P122" s="1103"/>
      <c r="Q122" s="1103"/>
      <c r="R122" s="1104"/>
    </row>
    <row r="123" spans="1:20" s="399" customFormat="1" ht="15" hidden="1" customHeight="1">
      <c r="A123" s="496"/>
      <c r="B123" s="498"/>
      <c r="C123" s="896"/>
      <c r="D123" s="897"/>
      <c r="E123" s="897"/>
      <c r="F123" s="897"/>
      <c r="G123" s="1116"/>
      <c r="H123" s="1117"/>
      <c r="I123" s="1117"/>
      <c r="J123" s="1117"/>
      <c r="K123" s="1117"/>
      <c r="L123" s="1117"/>
      <c r="M123" s="1117"/>
      <c r="N123" s="1118"/>
      <c r="O123" s="1102"/>
      <c r="P123" s="1103"/>
      <c r="Q123" s="1103"/>
      <c r="R123" s="1104"/>
    </row>
    <row r="124" spans="1:20" s="399" customFormat="1" ht="15" hidden="1" customHeight="1">
      <c r="A124" s="496"/>
      <c r="B124" s="498">
        <v>2</v>
      </c>
      <c r="C124" s="893" t="s">
        <v>979</v>
      </c>
      <c r="D124" s="894"/>
      <c r="E124" s="894"/>
      <c r="F124" s="894"/>
      <c r="G124" s="1119" t="str">
        <f>Input!E84&amp;", "&amp;Input!H84&amp;IF(Input!F85=Input!F84,""," s.d. "&amp;Input!E85&amp;", "&amp;Input!H85)</f>
        <v>Selasa, 1 Agustus 2023</v>
      </c>
      <c r="H124" s="1120"/>
      <c r="I124" s="1120"/>
      <c r="J124" s="1120"/>
      <c r="K124" s="1120"/>
      <c r="L124" s="1120"/>
      <c r="M124" s="1120"/>
      <c r="N124" s="1121"/>
      <c r="O124" s="1102" t="str">
        <f>Input!G116&amp;" sampai selesai"</f>
        <v xml:space="preserve"> sampai selesai</v>
      </c>
      <c r="P124" s="1103"/>
      <c r="Q124" s="1103"/>
      <c r="R124" s="1104"/>
    </row>
    <row r="125" spans="1:20" s="399" customFormat="1" ht="15" hidden="1" customHeight="1">
      <c r="A125" s="496"/>
      <c r="B125" s="498"/>
      <c r="C125" s="896"/>
      <c r="D125" s="897"/>
      <c r="E125" s="897"/>
      <c r="F125" s="897"/>
      <c r="G125" s="1116"/>
      <c r="H125" s="1117"/>
      <c r="I125" s="1117"/>
      <c r="J125" s="1117"/>
      <c r="K125" s="1117"/>
      <c r="L125" s="1117"/>
      <c r="M125" s="1117"/>
      <c r="N125" s="1118"/>
      <c r="O125" s="1102"/>
      <c r="P125" s="1103"/>
      <c r="Q125" s="1103"/>
      <c r="R125" s="1104"/>
    </row>
    <row r="126" spans="1:20" s="399" customFormat="1" ht="15" hidden="1" customHeight="1">
      <c r="A126" s="496"/>
      <c r="B126" s="499">
        <v>3</v>
      </c>
      <c r="C126" s="893" t="s">
        <v>980</v>
      </c>
      <c r="D126" s="894"/>
      <c r="E126" s="894"/>
      <c r="F126" s="894"/>
      <c r="G126" s="1122">
        <f>Input!F91</f>
        <v>45141</v>
      </c>
      <c r="H126" s="1123"/>
      <c r="I126" s="1123"/>
      <c r="J126" s="1123"/>
      <c r="K126" s="1123"/>
      <c r="L126" s="1123"/>
      <c r="M126" s="1123"/>
      <c r="N126" s="1124"/>
      <c r="O126" s="1105"/>
      <c r="P126" s="1106"/>
      <c r="Q126" s="1106"/>
      <c r="R126" s="1107"/>
    </row>
    <row r="127" spans="1:20" s="399" customFormat="1" ht="15" hidden="1" customHeight="1">
      <c r="A127" s="496"/>
      <c r="B127" s="500"/>
      <c r="C127" s="1128"/>
      <c r="D127" s="1129"/>
      <c r="E127" s="1129"/>
      <c r="F127" s="1129"/>
      <c r="G127" s="1125"/>
      <c r="H127" s="1126"/>
      <c r="I127" s="1126"/>
      <c r="J127" s="1126"/>
      <c r="K127" s="1126"/>
      <c r="L127" s="1126"/>
      <c r="M127" s="1126"/>
      <c r="N127" s="1127"/>
      <c r="O127" s="1132"/>
      <c r="P127" s="1133"/>
      <c r="Q127" s="1133"/>
      <c r="R127" s="1134"/>
      <c r="S127" s="516">
        <f>ROW(B127)</f>
        <v>127</v>
      </c>
    </row>
    <row r="128" spans="1:20" s="399" customFormat="1" ht="15" customHeight="1">
      <c r="A128" s="496"/>
      <c r="B128" s="501"/>
      <c r="C128" s="501"/>
      <c r="D128" s="501"/>
      <c r="E128" s="501"/>
      <c r="F128" s="501"/>
      <c r="G128" s="501"/>
      <c r="H128" s="501"/>
      <c r="I128" s="504"/>
    </row>
    <row r="129" spans="1:18" s="399" customFormat="1" ht="14.25">
      <c r="A129" s="517" t="s">
        <v>288</v>
      </c>
      <c r="B129" s="518" t="s">
        <v>981</v>
      </c>
      <c r="C129" s="519"/>
      <c r="D129" s="519"/>
      <c r="E129" s="519"/>
      <c r="F129" s="519"/>
      <c r="G129" s="519"/>
      <c r="H129" s="519"/>
      <c r="I129" s="519"/>
    </row>
    <row r="130" spans="1:18" s="399" customFormat="1" ht="15" customHeight="1">
      <c r="A130" s="496"/>
      <c r="B130" s="810" t="s">
        <v>982</v>
      </c>
      <c r="C130" s="519"/>
      <c r="D130" s="519"/>
      <c r="E130" s="519"/>
      <c r="F130" s="519"/>
      <c r="G130" s="519"/>
      <c r="H130" s="519"/>
      <c r="I130" s="519"/>
      <c r="J130" s="519"/>
      <c r="K130" s="519"/>
      <c r="L130" s="519"/>
      <c r="M130" s="519"/>
      <c r="N130" s="519"/>
      <c r="O130" s="519"/>
      <c r="P130" s="519"/>
      <c r="Q130" s="519"/>
      <c r="R130" s="519"/>
    </row>
    <row r="131" spans="1:18" s="399" customFormat="1" ht="15" customHeight="1">
      <c r="A131" s="496"/>
      <c r="B131" s="519"/>
      <c r="C131" s="519"/>
      <c r="D131" s="519"/>
      <c r="E131" s="519"/>
      <c r="F131" s="519"/>
      <c r="G131" s="519"/>
      <c r="H131" s="519"/>
      <c r="I131" s="519"/>
      <c r="J131" s="519"/>
      <c r="K131" s="519"/>
      <c r="L131" s="519"/>
      <c r="M131" s="519"/>
      <c r="N131" s="519"/>
      <c r="O131" s="519"/>
      <c r="P131" s="519"/>
      <c r="Q131" s="519"/>
      <c r="R131" s="519"/>
    </row>
    <row r="132" spans="1:18" s="18" customFormat="1" ht="15" customHeight="1">
      <c r="C132" s="43"/>
      <c r="D132" s="43"/>
      <c r="I132" s="1135" t="str">
        <f>ppk_lok&amp;", "&amp;Input!H78</f>
        <v>Mataram, 1 Oktober 2025</v>
      </c>
      <c r="J132" s="1135"/>
      <c r="K132" s="1135"/>
      <c r="L132" s="1135"/>
      <c r="M132" s="1135"/>
      <c r="N132" s="1135"/>
      <c r="O132" s="1135"/>
      <c r="P132" s="1135"/>
      <c r="Q132" s="1135"/>
      <c r="R132" s="1135"/>
    </row>
    <row r="133" spans="1:18" s="18" customFormat="1" ht="15" customHeight="1">
      <c r="B133" s="43"/>
      <c r="C133" s="43"/>
      <c r="I133" s="1136" t="str">
        <f>Input!D51</f>
        <v>Badan Pengelolaan Keuangan dan Aset Daerah</v>
      </c>
      <c r="J133" s="1136"/>
      <c r="K133" s="1136"/>
      <c r="L133" s="1136"/>
      <c r="M133" s="1136"/>
      <c r="N133" s="1136"/>
      <c r="O133" s="1136"/>
      <c r="P133" s="1136"/>
      <c r="Q133" s="1136"/>
      <c r="R133" s="1136"/>
    </row>
    <row r="134" spans="1:18" s="18" customFormat="1" ht="15" customHeight="1">
      <c r="B134" s="43"/>
      <c r="C134" s="43"/>
      <c r="I134" s="1136" t="str">
        <f>pokja</f>
        <v>Pejabat Pengadaan</v>
      </c>
      <c r="J134" s="1136"/>
      <c r="K134" s="1136"/>
      <c r="L134" s="1136"/>
      <c r="M134" s="1136"/>
      <c r="N134" s="1136"/>
      <c r="O134" s="1136"/>
      <c r="P134" s="1136"/>
      <c r="Q134" s="1136"/>
      <c r="R134" s="1136"/>
    </row>
    <row r="135" spans="1:18" s="18" customFormat="1" ht="15" customHeight="1">
      <c r="B135" s="43"/>
      <c r="C135" s="43"/>
      <c r="I135" s="1021"/>
      <c r="J135" s="1021"/>
      <c r="K135" s="1021"/>
      <c r="L135" s="1021"/>
      <c r="M135" s="1021"/>
      <c r="N135" s="1021"/>
      <c r="O135" s="1021"/>
      <c r="P135" s="1021"/>
      <c r="Q135" s="1021"/>
      <c r="R135" s="1021"/>
    </row>
    <row r="136" spans="1:18" s="18" customFormat="1" ht="15" customHeight="1">
      <c r="B136" s="43"/>
      <c r="C136" s="43"/>
      <c r="I136" s="1021"/>
      <c r="J136" s="1021"/>
      <c r="K136" s="1021"/>
      <c r="L136" s="1021"/>
      <c r="M136" s="1021"/>
      <c r="N136" s="1021"/>
      <c r="O136" s="1021"/>
      <c r="P136" s="1021"/>
      <c r="Q136" s="1021"/>
      <c r="R136" s="1021"/>
    </row>
    <row r="137" spans="1:18" s="18" customFormat="1" ht="15" customHeight="1">
      <c r="B137" s="43"/>
      <c r="C137" s="43"/>
      <c r="I137" s="1021"/>
      <c r="J137" s="1021"/>
      <c r="K137" s="1021"/>
      <c r="L137" s="1021"/>
      <c r="M137" s="1021"/>
      <c r="N137" s="1021"/>
      <c r="O137" s="1021"/>
      <c r="P137" s="1021"/>
      <c r="Q137" s="1021"/>
      <c r="R137" s="1021"/>
    </row>
    <row r="138" spans="1:18" s="18" customFormat="1" ht="15" customHeight="1">
      <c r="B138" s="43"/>
      <c r="C138" s="43"/>
      <c r="I138" s="1137" t="str">
        <f>_pan1</f>
        <v>Surmayanti Isnaini, S.IP</v>
      </c>
      <c r="J138" s="1137"/>
      <c r="K138" s="1137"/>
      <c r="L138" s="1137"/>
      <c r="M138" s="1137"/>
      <c r="N138" s="1137"/>
      <c r="O138" s="1137"/>
      <c r="P138" s="1137"/>
      <c r="Q138" s="1137"/>
      <c r="R138" s="1137"/>
    </row>
    <row r="139" spans="1:18" s="18" customFormat="1" ht="15" customHeight="1">
      <c r="B139" s="43"/>
      <c r="C139" s="43"/>
      <c r="I139" s="1138" t="str">
        <f>"NIP. "&amp;pp_nip</f>
        <v>NIP. 199201122 01406 2 001</v>
      </c>
      <c r="J139" s="1138"/>
      <c r="K139" s="1138"/>
      <c r="L139" s="1138"/>
      <c r="M139" s="1138"/>
      <c r="N139" s="1138"/>
      <c r="O139" s="1138"/>
      <c r="P139" s="1138"/>
      <c r="Q139" s="1138"/>
      <c r="R139" s="1138"/>
    </row>
    <row r="140" spans="1:18" s="18" customFormat="1" ht="15" customHeight="1">
      <c r="B140" s="43"/>
      <c r="C140" s="43"/>
      <c r="G140" s="44"/>
      <c r="H140" s="44"/>
      <c r="I140" s="44"/>
    </row>
    <row r="141" spans="1:18" s="18" customFormat="1" ht="15" customHeight="1">
      <c r="B141" s="43"/>
      <c r="C141" s="43"/>
      <c r="D141" s="1110" t="str">
        <f>I132</f>
        <v>Mataram, 1 Oktober 2025</v>
      </c>
      <c r="E141" s="1111"/>
      <c r="F141" s="1111"/>
      <c r="G141" s="1111"/>
      <c r="H141" s="1111"/>
      <c r="I141" s="1111"/>
      <c r="J141" s="1111"/>
      <c r="K141" s="1111"/>
      <c r="L141" s="1111"/>
      <c r="M141" s="1111"/>
      <c r="N141" s="1111"/>
      <c r="O141" s="1111"/>
      <c r="P141" s="1111"/>
      <c r="Q141" s="1111"/>
      <c r="R141" s="1111"/>
    </row>
    <row r="142" spans="1:18">
      <c r="D142" s="1112" t="str">
        <f>pokja</f>
        <v>Pejabat Pengadaan</v>
      </c>
      <c r="E142" s="1112"/>
      <c r="F142" s="1112"/>
      <c r="G142" s="1112"/>
      <c r="H142" s="1112"/>
      <c r="I142" s="1112"/>
      <c r="J142" s="1112"/>
      <c r="K142" s="1112"/>
      <c r="L142" s="1112"/>
      <c r="M142" s="1112"/>
      <c r="N142" s="1112"/>
      <c r="O142" s="1112"/>
      <c r="P142" s="1112"/>
      <c r="Q142" s="1112"/>
      <c r="R142" s="1112"/>
    </row>
    <row r="143" spans="1:18">
      <c r="D143" s="520" t="s">
        <v>37</v>
      </c>
      <c r="E143" s="520"/>
      <c r="F143" s="520" t="s">
        <v>50</v>
      </c>
      <c r="G143" s="520"/>
      <c r="H143" s="521"/>
      <c r="I143" s="521"/>
      <c r="J143" s="521"/>
      <c r="K143" s="521"/>
      <c r="L143" s="521"/>
      <c r="M143" s="521"/>
      <c r="N143" s="526"/>
      <c r="O143" s="526"/>
      <c r="P143" s="526" t="s">
        <v>983</v>
      </c>
      <c r="Q143" s="526"/>
      <c r="R143" s="526"/>
    </row>
    <row r="144" spans="1:18">
      <c r="D144" s="804" t="str">
        <f>_pan1</f>
        <v>Surmayanti Isnaini, S.IP</v>
      </c>
      <c r="E144" s="405"/>
      <c r="F144" s="804" t="s">
        <v>419</v>
      </c>
      <c r="G144" s="405" t="s">
        <v>984</v>
      </c>
      <c r="M144" s="405"/>
      <c r="Q144" s="804" t="s">
        <v>419</v>
      </c>
    </row>
    <row r="145" spans="1:17">
      <c r="D145" s="405">
        <f>_pan2</f>
        <v>0</v>
      </c>
      <c r="E145" s="405"/>
      <c r="F145" s="805" t="s">
        <v>422</v>
      </c>
      <c r="G145" s="405" t="s">
        <v>71</v>
      </c>
      <c r="M145" s="805" t="s">
        <v>422</v>
      </c>
    </row>
    <row r="146" spans="1:17">
      <c r="A146" s="472"/>
      <c r="B146" s="472"/>
      <c r="C146" s="472"/>
      <c r="D146" s="407">
        <f>_pan3</f>
        <v>0</v>
      </c>
      <c r="E146" s="407"/>
      <c r="F146" s="804" t="s">
        <v>425</v>
      </c>
      <c r="G146" s="405" t="s">
        <v>74</v>
      </c>
      <c r="H146" s="407"/>
      <c r="M146" s="405"/>
      <c r="N146" s="407"/>
      <c r="Q146" s="804" t="s">
        <v>425</v>
      </c>
    </row>
    <row r="147" spans="1:17" ht="13.5" customHeight="1">
      <c r="D147" s="407">
        <f>_pan4</f>
        <v>0</v>
      </c>
      <c r="E147" s="405"/>
      <c r="F147" s="805" t="s">
        <v>422</v>
      </c>
      <c r="G147" s="405" t="s">
        <v>74</v>
      </c>
      <c r="M147" s="805" t="s">
        <v>435</v>
      </c>
    </row>
    <row r="148" spans="1:17" ht="13.5" customHeight="1">
      <c r="A148" s="472"/>
      <c r="B148" s="472"/>
      <c r="C148" s="472"/>
      <c r="D148" s="407">
        <f>_pan5</f>
        <v>0</v>
      </c>
      <c r="E148" s="407"/>
      <c r="F148" s="804" t="s">
        <v>425</v>
      </c>
      <c r="G148" s="405" t="s">
        <v>74</v>
      </c>
      <c r="H148" s="407"/>
      <c r="M148" s="405"/>
      <c r="N148" s="407"/>
      <c r="Q148" s="804" t="s">
        <v>441</v>
      </c>
    </row>
    <row r="149" spans="1:17">
      <c r="A149" s="472"/>
      <c r="B149" s="472"/>
      <c r="C149" s="472"/>
      <c r="E149" s="407"/>
      <c r="F149" s="405"/>
      <c r="G149" s="405"/>
      <c r="H149" s="407"/>
      <c r="J149" s="407"/>
      <c r="N149" s="407"/>
      <c r="Q149" s="407"/>
    </row>
    <row r="150" spans="1:17">
      <c r="A150" s="473"/>
      <c r="B150" s="473"/>
      <c r="C150" s="473"/>
      <c r="E150" s="407"/>
      <c r="F150" s="405"/>
      <c r="G150" s="405"/>
      <c r="J150" s="407"/>
      <c r="N150" s="407"/>
      <c r="Q150" s="407"/>
    </row>
    <row r="151" spans="1:17">
      <c r="A151" s="473"/>
      <c r="B151" s="473"/>
      <c r="C151" s="473"/>
      <c r="E151" s="407"/>
      <c r="F151" s="405"/>
      <c r="G151" s="405"/>
      <c r="J151" s="407"/>
      <c r="N151" s="407"/>
      <c r="Q151" s="407"/>
    </row>
    <row r="152" spans="1:17">
      <c r="A152" s="473"/>
      <c r="B152" s="473"/>
      <c r="C152" s="473"/>
      <c r="D152" s="522"/>
      <c r="E152" s="522"/>
      <c r="F152" s="405"/>
      <c r="G152" s="405"/>
    </row>
    <row r="153" spans="1:17">
      <c r="A153" s="473"/>
      <c r="B153" s="473"/>
      <c r="C153" s="473"/>
      <c r="D153" s="523"/>
      <c r="E153" s="523"/>
      <c r="F153" s="405"/>
      <c r="G153" s="405"/>
    </row>
    <row r="154" spans="1:17">
      <c r="A154" s="473"/>
      <c r="B154" s="473"/>
      <c r="C154" s="473"/>
      <c r="D154" s="523"/>
      <c r="E154" s="523"/>
      <c r="F154" s="405"/>
      <c r="G154" s="405"/>
    </row>
    <row r="155" spans="1:17">
      <c r="D155" s="524"/>
      <c r="E155" s="405"/>
      <c r="F155" s="405"/>
      <c r="G155" s="405"/>
    </row>
    <row r="156" spans="1:17">
      <c r="D156" s="525"/>
    </row>
  </sheetData>
  <mergeCells count="103">
    <mergeCell ref="D141:R141"/>
    <mergeCell ref="D142:R142"/>
    <mergeCell ref="G122:N123"/>
    <mergeCell ref="G124:N125"/>
    <mergeCell ref="G126:N127"/>
    <mergeCell ref="C126:F127"/>
    <mergeCell ref="C122:F123"/>
    <mergeCell ref="C124:F125"/>
    <mergeCell ref="A82:R83"/>
    <mergeCell ref="O127:R127"/>
    <mergeCell ref="I132:R132"/>
    <mergeCell ref="I133:R133"/>
    <mergeCell ref="I134:R134"/>
    <mergeCell ref="I135:R135"/>
    <mergeCell ref="I136:R136"/>
    <mergeCell ref="I137:R137"/>
    <mergeCell ref="I138:R138"/>
    <mergeCell ref="I139:R139"/>
    <mergeCell ref="D117:R117"/>
    <mergeCell ref="C121:F121"/>
    <mergeCell ref="G121:N121"/>
    <mergeCell ref="O121:R121"/>
    <mergeCell ref="O122:R122"/>
    <mergeCell ref="O123:R123"/>
    <mergeCell ref="O124:R124"/>
    <mergeCell ref="O125:R125"/>
    <mergeCell ref="O126:R126"/>
    <mergeCell ref="F107:R107"/>
    <mergeCell ref="F108:R108"/>
    <mergeCell ref="D110:R110"/>
    <mergeCell ref="D111:R111"/>
    <mergeCell ref="D112:R112"/>
    <mergeCell ref="D113:R113"/>
    <mergeCell ref="D114:R114"/>
    <mergeCell ref="D115:R115"/>
    <mergeCell ref="D116:R116"/>
    <mergeCell ref="F100:K100"/>
    <mergeCell ref="N100:R100"/>
    <mergeCell ref="F101:K101"/>
    <mergeCell ref="N101:R101"/>
    <mergeCell ref="F102:K102"/>
    <mergeCell ref="N102:R102"/>
    <mergeCell ref="F103:K103"/>
    <mergeCell ref="N103:R103"/>
    <mergeCell ref="F106:R106"/>
    <mergeCell ref="F94:K94"/>
    <mergeCell ref="N94:R94"/>
    <mergeCell ref="F95:K95"/>
    <mergeCell ref="F96:K96"/>
    <mergeCell ref="N96:R96"/>
    <mergeCell ref="F97:R97"/>
    <mergeCell ref="F98:R98"/>
    <mergeCell ref="F99:K99"/>
    <mergeCell ref="N99:R99"/>
    <mergeCell ref="D76:R76"/>
    <mergeCell ref="D80:R80"/>
    <mergeCell ref="D87:R87"/>
    <mergeCell ref="F88:L88"/>
    <mergeCell ref="F89:L89"/>
    <mergeCell ref="F90:L90"/>
    <mergeCell ref="F91:L91"/>
    <mergeCell ref="F92:R92"/>
    <mergeCell ref="F93:K93"/>
    <mergeCell ref="N93:R93"/>
    <mergeCell ref="E59:N59"/>
    <mergeCell ref="C63:D63"/>
    <mergeCell ref="I63:R63"/>
    <mergeCell ref="C70:D70"/>
    <mergeCell ref="I70:R70"/>
    <mergeCell ref="C71:D71"/>
    <mergeCell ref="I71:R71"/>
    <mergeCell ref="D74:R74"/>
    <mergeCell ref="D75:R75"/>
    <mergeCell ref="F36:R36"/>
    <mergeCell ref="F39:O39"/>
    <mergeCell ref="F40:G40"/>
    <mergeCell ref="F45:G45"/>
    <mergeCell ref="C54:R54"/>
    <mergeCell ref="C55:R55"/>
    <mergeCell ref="C56:R56"/>
    <mergeCell ref="C57:R57"/>
    <mergeCell ref="C58:R58"/>
    <mergeCell ref="C16:R16"/>
    <mergeCell ref="F18:R18"/>
    <mergeCell ref="F19:N19"/>
    <mergeCell ref="F20:N20"/>
    <mergeCell ref="F21:R21"/>
    <mergeCell ref="F22:R22"/>
    <mergeCell ref="F29:R29"/>
    <mergeCell ref="F30:R30"/>
    <mergeCell ref="F34:H34"/>
    <mergeCell ref="M34:R34"/>
    <mergeCell ref="C32:D33"/>
    <mergeCell ref="D1:R1"/>
    <mergeCell ref="D2:R2"/>
    <mergeCell ref="D3:R3"/>
    <mergeCell ref="A5:R5"/>
    <mergeCell ref="F8:M8"/>
    <mergeCell ref="F9:R9"/>
    <mergeCell ref="F10:R10"/>
    <mergeCell ref="F11:R11"/>
    <mergeCell ref="F15:H15"/>
    <mergeCell ref="F13:R14"/>
  </mergeCells>
  <dataValidations count="11">
    <dataValidation type="list" allowBlank="1" showInputMessage="1" showErrorMessage="1" sqref="F19" xr:uid="{00000000-0002-0000-0900-000000000000}">
      <formula1>"Barang, Pekerjaan Konstruksi, Jasa Konsultansi Konstruksi, Jasa Konsultansi Non Konstruksi, Jasa lainnya"</formula1>
    </dataValidation>
    <dataValidation type="list" allowBlank="1" sqref="F36:R36" xr:uid="{00000000-0002-0000-0900-000001000000}">
      <formula1>"Peraturan LKPP nomor 12 tahun 2021, -- isi sendiri --"</formula1>
    </dataValidation>
    <dataValidation type="list" allowBlank="1" sqref="F39" xr:uid="{00000000-0002-0000-0900-000002000000}">
      <formula1>"Lumsum, Harga Satuan, Gabungan Lumsum Dan Harga Satuan, Kontrak Payung, Waktu Penugasan"</formula1>
    </dataValidation>
    <dataValidation allowBlank="1" sqref="P39:R39 O122 O124:O125" xr:uid="{00000000-0002-0000-0900-000003000000}"/>
    <dataValidation type="list" allowBlank="1" showInputMessage="1" prompt="Dapat dilanjutkan_x000a_Belum dapat dilanjutkan" sqref="E59" xr:uid="{00000000-0002-0000-0900-000004000000}">
      <formula1>"Dapat Dilanjutkan, Belum Dapat Dilanjutkan"</formula1>
    </dataValidation>
    <dataValidation allowBlank="1" showInputMessage="1" prompt="Dapat dilanjutkan_x000a_Belum dapat dilanjutkan" sqref="O59:R59" xr:uid="{00000000-0002-0000-0900-000005000000}"/>
    <dataValidation type="list" allowBlank="1" showInputMessage="1" showErrorMessage="1" sqref="F88" xr:uid="{00000000-0002-0000-0900-000006000000}">
      <formula1>"E-Purchasing, Penunjukan Langsung, Tender Cepat, Tender, Seleksi"</formula1>
    </dataValidation>
    <dataValidation type="list" allowBlank="1" showInputMessage="1" showErrorMessage="1" sqref="F89" xr:uid="{00000000-0002-0000-0900-000007000000}">
      <formula1>"Pascakualifikasi, Prakualifikasi"</formula1>
    </dataValidation>
    <dataValidation type="list" allowBlank="1" showInputMessage="1" showErrorMessage="1" sqref="F90" xr:uid="{00000000-0002-0000-0900-000008000000}">
      <formula1>"Harga Terendah, Harga Terendah dengan Ambang Batas, Biaya Selama Umur Ekonomis, Sistem Nilai, -- konsultan --, Kualitas Dan Biaya, Kualitas, Pagu Anggaran, Biaya Terendah"</formula1>
    </dataValidation>
    <dataValidation type="list" allowBlank="1" showInputMessage="1" showErrorMessage="1" sqref="F91" xr:uid="{00000000-0002-0000-0900-000009000000}">
      <formula1>"Satu File, Dua File, Dua Tahap"</formula1>
    </dataValidation>
    <dataValidation type="list" allowBlank="1" showInputMessage="1" showErrorMessage="1" sqref="F92" xr:uid="{00000000-0002-0000-0900-00000A000000}">
      <formula1>"Sesuai yang tercantum dalam aplikasi SPSE"</formula1>
    </dataValidation>
  </dataValidations>
  <hyperlinks>
    <hyperlink ref="T78" location="Input!A72" display="balik ke input" xr:uid="{00000000-0004-0000-0900-000000000000}"/>
    <hyperlink ref="T7" location="Input!A72" display="balik ke input" xr:uid="{00000000-0004-0000-0900-000001000000}"/>
  </hyperlinks>
  <pageMargins left="0.78740157480314998" right="0.31496062992126" top="0.78740157480314998" bottom="0.78740157480314998" header="0" footer="0"/>
  <pageSetup paperSize="9" scale="99" fitToWidth="0" fitToHeight="0" orientation="portrait" r:id="rId1"/>
  <rowBreaks count="2" manualBreakCount="2">
    <brk id="46" max="17" man="1"/>
    <brk id="73" max="1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92D050"/>
  </sheetPr>
  <dimension ref="A1:L121"/>
  <sheetViews>
    <sheetView view="pageBreakPreview" zoomScale="115" zoomScaleNormal="100" workbookViewId="0">
      <selection activeCell="K10" sqref="K10"/>
    </sheetView>
  </sheetViews>
  <sheetFormatPr defaultColWidth="9" defaultRowHeight="14.25"/>
  <cols>
    <col min="1" max="1" width="4.53125" style="18" customWidth="1"/>
    <col min="2" max="2" width="5.796875" style="18" customWidth="1"/>
    <col min="3" max="3" width="1.6640625" style="18" customWidth="1"/>
    <col min="4" max="4" width="14" style="18" customWidth="1"/>
    <col min="5" max="5" width="1.86328125" style="18" customWidth="1"/>
    <col min="6" max="6" width="22.19921875" style="18" customWidth="1"/>
    <col min="7" max="7" width="10.19921875" style="18" customWidth="1"/>
    <col min="8" max="8" width="14.33203125" style="18" customWidth="1"/>
    <col min="9" max="9" width="13.33203125" style="18" customWidth="1"/>
    <col min="10" max="10" width="9" style="18" hidden="1" customWidth="1"/>
    <col min="11" max="11" width="16.53125" style="18" customWidth="1"/>
    <col min="12" max="256" width="9" style="18"/>
    <col min="257" max="257" width="9.86328125" style="18" customWidth="1"/>
    <col min="258" max="258" width="2" style="18" customWidth="1"/>
    <col min="259" max="259" width="12.53125" style="18" customWidth="1"/>
    <col min="260" max="260" width="1.86328125" style="18" customWidth="1"/>
    <col min="261" max="261" width="2" style="18" customWidth="1"/>
    <col min="262" max="262" width="16" style="18" customWidth="1"/>
    <col min="263" max="263" width="26" style="18" customWidth="1"/>
    <col min="264" max="264" width="9" style="18"/>
    <col min="265" max="265" width="9" style="18" customWidth="1"/>
    <col min="266" max="512" width="9" style="18"/>
    <col min="513" max="513" width="9.86328125" style="18" customWidth="1"/>
    <col min="514" max="514" width="2" style="18" customWidth="1"/>
    <col min="515" max="515" width="12.53125" style="18" customWidth="1"/>
    <col min="516" max="516" width="1.86328125" style="18" customWidth="1"/>
    <col min="517" max="517" width="2" style="18" customWidth="1"/>
    <col min="518" max="518" width="16" style="18" customWidth="1"/>
    <col min="519" max="519" width="26" style="18" customWidth="1"/>
    <col min="520" max="520" width="9" style="18"/>
    <col min="521" max="521" width="9" style="18" customWidth="1"/>
    <col min="522" max="768" width="9" style="18"/>
    <col min="769" max="769" width="9.86328125" style="18" customWidth="1"/>
    <col min="770" max="770" width="2" style="18" customWidth="1"/>
    <col min="771" max="771" width="12.53125" style="18" customWidth="1"/>
    <col min="772" max="772" width="1.86328125" style="18" customWidth="1"/>
    <col min="773" max="773" width="2" style="18" customWidth="1"/>
    <col min="774" max="774" width="16" style="18" customWidth="1"/>
    <col min="775" max="775" width="26" style="18" customWidth="1"/>
    <col min="776" max="776" width="9" style="18"/>
    <col min="777" max="777" width="9" style="18" customWidth="1"/>
    <col min="778" max="1024" width="9" style="18"/>
    <col min="1025" max="1025" width="9.86328125" style="18" customWidth="1"/>
    <col min="1026" max="1026" width="2" style="18" customWidth="1"/>
    <col min="1027" max="1027" width="12.53125" style="18" customWidth="1"/>
    <col min="1028" max="1028" width="1.86328125" style="18" customWidth="1"/>
    <col min="1029" max="1029" width="2" style="18" customWidth="1"/>
    <col min="1030" max="1030" width="16" style="18" customWidth="1"/>
    <col min="1031" max="1031" width="26" style="18" customWidth="1"/>
    <col min="1032" max="1032" width="9" style="18"/>
    <col min="1033" max="1033" width="9" style="18" customWidth="1"/>
    <col min="1034" max="1280" width="9" style="18"/>
    <col min="1281" max="1281" width="9.86328125" style="18" customWidth="1"/>
    <col min="1282" max="1282" width="2" style="18" customWidth="1"/>
    <col min="1283" max="1283" width="12.53125" style="18" customWidth="1"/>
    <col min="1284" max="1284" width="1.86328125" style="18" customWidth="1"/>
    <col min="1285" max="1285" width="2" style="18" customWidth="1"/>
    <col min="1286" max="1286" width="16" style="18" customWidth="1"/>
    <col min="1287" max="1287" width="26" style="18" customWidth="1"/>
    <col min="1288" max="1288" width="9" style="18"/>
    <col min="1289" max="1289" width="9" style="18" customWidth="1"/>
    <col min="1290" max="1536" width="9" style="18"/>
    <col min="1537" max="1537" width="9.86328125" style="18" customWidth="1"/>
    <col min="1538" max="1538" width="2" style="18" customWidth="1"/>
    <col min="1539" max="1539" width="12.53125" style="18" customWidth="1"/>
    <col min="1540" max="1540" width="1.86328125" style="18" customWidth="1"/>
    <col min="1541" max="1541" width="2" style="18" customWidth="1"/>
    <col min="1542" max="1542" width="16" style="18" customWidth="1"/>
    <col min="1543" max="1543" width="26" style="18" customWidth="1"/>
    <col min="1544" max="1544" width="9" style="18"/>
    <col min="1545" max="1545" width="9" style="18" customWidth="1"/>
    <col min="1546" max="1792" width="9" style="18"/>
    <col min="1793" max="1793" width="9.86328125" style="18" customWidth="1"/>
    <col min="1794" max="1794" width="2" style="18" customWidth="1"/>
    <col min="1795" max="1795" width="12.53125" style="18" customWidth="1"/>
    <col min="1796" max="1796" width="1.86328125" style="18" customWidth="1"/>
    <col min="1797" max="1797" width="2" style="18" customWidth="1"/>
    <col min="1798" max="1798" width="16" style="18" customWidth="1"/>
    <col min="1799" max="1799" width="26" style="18" customWidth="1"/>
    <col min="1800" max="1800" width="9" style="18"/>
    <col min="1801" max="1801" width="9" style="18" customWidth="1"/>
    <col min="1802" max="2048" width="9" style="18"/>
    <col min="2049" max="2049" width="9.86328125" style="18" customWidth="1"/>
    <col min="2050" max="2050" width="2" style="18" customWidth="1"/>
    <col min="2051" max="2051" width="12.53125" style="18" customWidth="1"/>
    <col min="2052" max="2052" width="1.86328125" style="18" customWidth="1"/>
    <col min="2053" max="2053" width="2" style="18" customWidth="1"/>
    <col min="2054" max="2054" width="16" style="18" customWidth="1"/>
    <col min="2055" max="2055" width="26" style="18" customWidth="1"/>
    <col min="2056" max="2056" width="9" style="18"/>
    <col min="2057" max="2057" width="9" style="18" customWidth="1"/>
    <col min="2058" max="2304" width="9" style="18"/>
    <col min="2305" max="2305" width="9.86328125" style="18" customWidth="1"/>
    <col min="2306" max="2306" width="2" style="18" customWidth="1"/>
    <col min="2307" max="2307" width="12.53125" style="18" customWidth="1"/>
    <col min="2308" max="2308" width="1.86328125" style="18" customWidth="1"/>
    <col min="2309" max="2309" width="2" style="18" customWidth="1"/>
    <col min="2310" max="2310" width="16" style="18" customWidth="1"/>
    <col min="2311" max="2311" width="26" style="18" customWidth="1"/>
    <col min="2312" max="2312" width="9" style="18"/>
    <col min="2313" max="2313" width="9" style="18" customWidth="1"/>
    <col min="2314" max="2560" width="9" style="18"/>
    <col min="2561" max="2561" width="9.86328125" style="18" customWidth="1"/>
    <col min="2562" max="2562" width="2" style="18" customWidth="1"/>
    <col min="2563" max="2563" width="12.53125" style="18" customWidth="1"/>
    <col min="2564" max="2564" width="1.86328125" style="18" customWidth="1"/>
    <col min="2565" max="2565" width="2" style="18" customWidth="1"/>
    <col min="2566" max="2566" width="16" style="18" customWidth="1"/>
    <col min="2567" max="2567" width="26" style="18" customWidth="1"/>
    <col min="2568" max="2568" width="9" style="18"/>
    <col min="2569" max="2569" width="9" style="18" customWidth="1"/>
    <col min="2570" max="2816" width="9" style="18"/>
    <col min="2817" max="2817" width="9.86328125" style="18" customWidth="1"/>
    <col min="2818" max="2818" width="2" style="18" customWidth="1"/>
    <col min="2819" max="2819" width="12.53125" style="18" customWidth="1"/>
    <col min="2820" max="2820" width="1.86328125" style="18" customWidth="1"/>
    <col min="2821" max="2821" width="2" style="18" customWidth="1"/>
    <col min="2822" max="2822" width="16" style="18" customWidth="1"/>
    <col min="2823" max="2823" width="26" style="18" customWidth="1"/>
    <col min="2824" max="2824" width="9" style="18"/>
    <col min="2825" max="2825" width="9" style="18" customWidth="1"/>
    <col min="2826" max="3072" width="9" style="18"/>
    <col min="3073" max="3073" width="9.86328125" style="18" customWidth="1"/>
    <col min="3074" max="3074" width="2" style="18" customWidth="1"/>
    <col min="3075" max="3075" width="12.53125" style="18" customWidth="1"/>
    <col min="3076" max="3076" width="1.86328125" style="18" customWidth="1"/>
    <col min="3077" max="3077" width="2" style="18" customWidth="1"/>
    <col min="3078" max="3078" width="16" style="18" customWidth="1"/>
    <col min="3079" max="3079" width="26" style="18" customWidth="1"/>
    <col min="3080" max="3080" width="9" style="18"/>
    <col min="3081" max="3081" width="9" style="18" customWidth="1"/>
    <col min="3082" max="3328" width="9" style="18"/>
    <col min="3329" max="3329" width="9.86328125" style="18" customWidth="1"/>
    <col min="3330" max="3330" width="2" style="18" customWidth="1"/>
    <col min="3331" max="3331" width="12.53125" style="18" customWidth="1"/>
    <col min="3332" max="3332" width="1.86328125" style="18" customWidth="1"/>
    <col min="3333" max="3333" width="2" style="18" customWidth="1"/>
    <col min="3334" max="3334" width="16" style="18" customWidth="1"/>
    <col min="3335" max="3335" width="26" style="18" customWidth="1"/>
    <col min="3336" max="3336" width="9" style="18"/>
    <col min="3337" max="3337" width="9" style="18" customWidth="1"/>
    <col min="3338" max="3584" width="9" style="18"/>
    <col min="3585" max="3585" width="9.86328125" style="18" customWidth="1"/>
    <col min="3586" max="3586" width="2" style="18" customWidth="1"/>
    <col min="3587" max="3587" width="12.53125" style="18" customWidth="1"/>
    <col min="3588" max="3588" width="1.86328125" style="18" customWidth="1"/>
    <col min="3589" max="3589" width="2" style="18" customWidth="1"/>
    <col min="3590" max="3590" width="16" style="18" customWidth="1"/>
    <col min="3591" max="3591" width="26" style="18" customWidth="1"/>
    <col min="3592" max="3592" width="9" style="18"/>
    <col min="3593" max="3593" width="9" style="18" customWidth="1"/>
    <col min="3594" max="3840" width="9" style="18"/>
    <col min="3841" max="3841" width="9.86328125" style="18" customWidth="1"/>
    <col min="3842" max="3842" width="2" style="18" customWidth="1"/>
    <col min="3843" max="3843" width="12.53125" style="18" customWidth="1"/>
    <col min="3844" max="3844" width="1.86328125" style="18" customWidth="1"/>
    <col min="3845" max="3845" width="2" style="18" customWidth="1"/>
    <col min="3846" max="3846" width="16" style="18" customWidth="1"/>
    <col min="3847" max="3847" width="26" style="18" customWidth="1"/>
    <col min="3848" max="3848" width="9" style="18"/>
    <col min="3849" max="3849" width="9" style="18" customWidth="1"/>
    <col min="3850" max="4096" width="9" style="18"/>
    <col min="4097" max="4097" width="9.86328125" style="18" customWidth="1"/>
    <col min="4098" max="4098" width="2" style="18" customWidth="1"/>
    <col min="4099" max="4099" width="12.53125" style="18" customWidth="1"/>
    <col min="4100" max="4100" width="1.86328125" style="18" customWidth="1"/>
    <col min="4101" max="4101" width="2" style="18" customWidth="1"/>
    <col min="4102" max="4102" width="16" style="18" customWidth="1"/>
    <col min="4103" max="4103" width="26" style="18" customWidth="1"/>
    <col min="4104" max="4104" width="9" style="18"/>
    <col min="4105" max="4105" width="9" style="18" customWidth="1"/>
    <col min="4106" max="4352" width="9" style="18"/>
    <col min="4353" max="4353" width="9.86328125" style="18" customWidth="1"/>
    <col min="4354" max="4354" width="2" style="18" customWidth="1"/>
    <col min="4355" max="4355" width="12.53125" style="18" customWidth="1"/>
    <col min="4356" max="4356" width="1.86328125" style="18" customWidth="1"/>
    <col min="4357" max="4357" width="2" style="18" customWidth="1"/>
    <col min="4358" max="4358" width="16" style="18" customWidth="1"/>
    <col min="4359" max="4359" width="26" style="18" customWidth="1"/>
    <col min="4360" max="4360" width="9" style="18"/>
    <col min="4361" max="4361" width="9" style="18" customWidth="1"/>
    <col min="4362" max="4608" width="9" style="18"/>
    <col min="4609" max="4609" width="9.86328125" style="18" customWidth="1"/>
    <col min="4610" max="4610" width="2" style="18" customWidth="1"/>
    <col min="4611" max="4611" width="12.53125" style="18" customWidth="1"/>
    <col min="4612" max="4612" width="1.86328125" style="18" customWidth="1"/>
    <col min="4613" max="4613" width="2" style="18" customWidth="1"/>
    <col min="4614" max="4614" width="16" style="18" customWidth="1"/>
    <col min="4615" max="4615" width="26" style="18" customWidth="1"/>
    <col min="4616" max="4616" width="9" style="18"/>
    <col min="4617" max="4617" width="9" style="18" customWidth="1"/>
    <col min="4618" max="4864" width="9" style="18"/>
    <col min="4865" max="4865" width="9.86328125" style="18" customWidth="1"/>
    <col min="4866" max="4866" width="2" style="18" customWidth="1"/>
    <col min="4867" max="4867" width="12.53125" style="18" customWidth="1"/>
    <col min="4868" max="4868" width="1.86328125" style="18" customWidth="1"/>
    <col min="4869" max="4869" width="2" style="18" customWidth="1"/>
    <col min="4870" max="4870" width="16" style="18" customWidth="1"/>
    <col min="4871" max="4871" width="26" style="18" customWidth="1"/>
    <col min="4872" max="4872" width="9" style="18"/>
    <col min="4873" max="4873" width="9" style="18" customWidth="1"/>
    <col min="4874" max="5120" width="9" style="18"/>
    <col min="5121" max="5121" width="9.86328125" style="18" customWidth="1"/>
    <col min="5122" max="5122" width="2" style="18" customWidth="1"/>
    <col min="5123" max="5123" width="12.53125" style="18" customWidth="1"/>
    <col min="5124" max="5124" width="1.86328125" style="18" customWidth="1"/>
    <col min="5125" max="5125" width="2" style="18" customWidth="1"/>
    <col min="5126" max="5126" width="16" style="18" customWidth="1"/>
    <col min="5127" max="5127" width="26" style="18" customWidth="1"/>
    <col min="5128" max="5128" width="9" style="18"/>
    <col min="5129" max="5129" width="9" style="18" customWidth="1"/>
    <col min="5130" max="5376" width="9" style="18"/>
    <col min="5377" max="5377" width="9.86328125" style="18" customWidth="1"/>
    <col min="5378" max="5378" width="2" style="18" customWidth="1"/>
    <col min="5379" max="5379" width="12.53125" style="18" customWidth="1"/>
    <col min="5380" max="5380" width="1.86328125" style="18" customWidth="1"/>
    <col min="5381" max="5381" width="2" style="18" customWidth="1"/>
    <col min="5382" max="5382" width="16" style="18" customWidth="1"/>
    <col min="5383" max="5383" width="26" style="18" customWidth="1"/>
    <col min="5384" max="5384" width="9" style="18"/>
    <col min="5385" max="5385" width="9" style="18" customWidth="1"/>
    <col min="5386" max="5632" width="9" style="18"/>
    <col min="5633" max="5633" width="9.86328125" style="18" customWidth="1"/>
    <col min="5634" max="5634" width="2" style="18" customWidth="1"/>
    <col min="5635" max="5635" width="12.53125" style="18" customWidth="1"/>
    <col min="5636" max="5636" width="1.86328125" style="18" customWidth="1"/>
    <col min="5637" max="5637" width="2" style="18" customWidth="1"/>
    <col min="5638" max="5638" width="16" style="18" customWidth="1"/>
    <col min="5639" max="5639" width="26" style="18" customWidth="1"/>
    <col min="5640" max="5640" width="9" style="18"/>
    <col min="5641" max="5641" width="9" style="18" customWidth="1"/>
    <col min="5642" max="5888" width="9" style="18"/>
    <col min="5889" max="5889" width="9.86328125" style="18" customWidth="1"/>
    <col min="5890" max="5890" width="2" style="18" customWidth="1"/>
    <col min="5891" max="5891" width="12.53125" style="18" customWidth="1"/>
    <col min="5892" max="5892" width="1.86328125" style="18" customWidth="1"/>
    <col min="5893" max="5893" width="2" style="18" customWidth="1"/>
    <col min="5894" max="5894" width="16" style="18" customWidth="1"/>
    <col min="5895" max="5895" width="26" style="18" customWidth="1"/>
    <col min="5896" max="5896" width="9" style="18"/>
    <col min="5897" max="5897" width="9" style="18" customWidth="1"/>
    <col min="5898" max="6144" width="9" style="18"/>
    <col min="6145" max="6145" width="9.86328125" style="18" customWidth="1"/>
    <col min="6146" max="6146" width="2" style="18" customWidth="1"/>
    <col min="6147" max="6147" width="12.53125" style="18" customWidth="1"/>
    <col min="6148" max="6148" width="1.86328125" style="18" customWidth="1"/>
    <col min="6149" max="6149" width="2" style="18" customWidth="1"/>
    <col min="6150" max="6150" width="16" style="18" customWidth="1"/>
    <col min="6151" max="6151" width="26" style="18" customWidth="1"/>
    <col min="6152" max="6152" width="9" style="18"/>
    <col min="6153" max="6153" width="9" style="18" customWidth="1"/>
    <col min="6154" max="6400" width="9" style="18"/>
    <col min="6401" max="6401" width="9.86328125" style="18" customWidth="1"/>
    <col min="6402" max="6402" width="2" style="18" customWidth="1"/>
    <col min="6403" max="6403" width="12.53125" style="18" customWidth="1"/>
    <col min="6404" max="6404" width="1.86328125" style="18" customWidth="1"/>
    <col min="6405" max="6405" width="2" style="18" customWidth="1"/>
    <col min="6406" max="6406" width="16" style="18" customWidth="1"/>
    <col min="6407" max="6407" width="26" style="18" customWidth="1"/>
    <col min="6408" max="6408" width="9" style="18"/>
    <col min="6409" max="6409" width="9" style="18" customWidth="1"/>
    <col min="6410" max="6656" width="9" style="18"/>
    <col min="6657" max="6657" width="9.86328125" style="18" customWidth="1"/>
    <col min="6658" max="6658" width="2" style="18" customWidth="1"/>
    <col min="6659" max="6659" width="12.53125" style="18" customWidth="1"/>
    <col min="6660" max="6660" width="1.86328125" style="18" customWidth="1"/>
    <col min="6661" max="6661" width="2" style="18" customWidth="1"/>
    <col min="6662" max="6662" width="16" style="18" customWidth="1"/>
    <col min="6663" max="6663" width="26" style="18" customWidth="1"/>
    <col min="6664" max="6664" width="9" style="18"/>
    <col min="6665" max="6665" width="9" style="18" customWidth="1"/>
    <col min="6666" max="6912" width="9" style="18"/>
    <col min="6913" max="6913" width="9.86328125" style="18" customWidth="1"/>
    <col min="6914" max="6914" width="2" style="18" customWidth="1"/>
    <col min="6915" max="6915" width="12.53125" style="18" customWidth="1"/>
    <col min="6916" max="6916" width="1.86328125" style="18" customWidth="1"/>
    <col min="6917" max="6917" width="2" style="18" customWidth="1"/>
    <col min="6918" max="6918" width="16" style="18" customWidth="1"/>
    <col min="6919" max="6919" width="26" style="18" customWidth="1"/>
    <col min="6920" max="6920" width="9" style="18"/>
    <col min="6921" max="6921" width="9" style="18" customWidth="1"/>
    <col min="6922" max="7168" width="9" style="18"/>
    <col min="7169" max="7169" width="9.86328125" style="18" customWidth="1"/>
    <col min="7170" max="7170" width="2" style="18" customWidth="1"/>
    <col min="7171" max="7171" width="12.53125" style="18" customWidth="1"/>
    <col min="7172" max="7172" width="1.86328125" style="18" customWidth="1"/>
    <col min="7173" max="7173" width="2" style="18" customWidth="1"/>
    <col min="7174" max="7174" width="16" style="18" customWidth="1"/>
    <col min="7175" max="7175" width="26" style="18" customWidth="1"/>
    <col min="7176" max="7176" width="9" style="18"/>
    <col min="7177" max="7177" width="9" style="18" customWidth="1"/>
    <col min="7178" max="7424" width="9" style="18"/>
    <col min="7425" max="7425" width="9.86328125" style="18" customWidth="1"/>
    <col min="7426" max="7426" width="2" style="18" customWidth="1"/>
    <col min="7427" max="7427" width="12.53125" style="18" customWidth="1"/>
    <col min="7428" max="7428" width="1.86328125" style="18" customWidth="1"/>
    <col min="7429" max="7429" width="2" style="18" customWidth="1"/>
    <col min="7430" max="7430" width="16" style="18" customWidth="1"/>
    <col min="7431" max="7431" width="26" style="18" customWidth="1"/>
    <col min="7432" max="7432" width="9" style="18"/>
    <col min="7433" max="7433" width="9" style="18" customWidth="1"/>
    <col min="7434" max="7680" width="9" style="18"/>
    <col min="7681" max="7681" width="9.86328125" style="18" customWidth="1"/>
    <col min="7682" max="7682" width="2" style="18" customWidth="1"/>
    <col min="7683" max="7683" width="12.53125" style="18" customWidth="1"/>
    <col min="7684" max="7684" width="1.86328125" style="18" customWidth="1"/>
    <col min="7685" max="7685" width="2" style="18" customWidth="1"/>
    <col min="7686" max="7686" width="16" style="18" customWidth="1"/>
    <col min="7687" max="7687" width="26" style="18" customWidth="1"/>
    <col min="7688" max="7688" width="9" style="18"/>
    <col min="7689" max="7689" width="9" style="18" customWidth="1"/>
    <col min="7690" max="7936" width="9" style="18"/>
    <col min="7937" max="7937" width="9.86328125" style="18" customWidth="1"/>
    <col min="7938" max="7938" width="2" style="18" customWidth="1"/>
    <col min="7939" max="7939" width="12.53125" style="18" customWidth="1"/>
    <col min="7940" max="7940" width="1.86328125" style="18" customWidth="1"/>
    <col min="7941" max="7941" width="2" style="18" customWidth="1"/>
    <col min="7942" max="7942" width="16" style="18" customWidth="1"/>
    <col min="7943" max="7943" width="26" style="18" customWidth="1"/>
    <col min="7944" max="7944" width="9" style="18"/>
    <col min="7945" max="7945" width="9" style="18" customWidth="1"/>
    <col min="7946" max="8192" width="9" style="18"/>
    <col min="8193" max="8193" width="9.86328125" style="18" customWidth="1"/>
    <col min="8194" max="8194" width="2" style="18" customWidth="1"/>
    <col min="8195" max="8195" width="12.53125" style="18" customWidth="1"/>
    <col min="8196" max="8196" width="1.86328125" style="18" customWidth="1"/>
    <col min="8197" max="8197" width="2" style="18" customWidth="1"/>
    <col min="8198" max="8198" width="16" style="18" customWidth="1"/>
    <col min="8199" max="8199" width="26" style="18" customWidth="1"/>
    <col min="8200" max="8200" width="9" style="18"/>
    <col min="8201" max="8201" width="9" style="18" customWidth="1"/>
    <col min="8202" max="8448" width="9" style="18"/>
    <col min="8449" max="8449" width="9.86328125" style="18" customWidth="1"/>
    <col min="8450" max="8450" width="2" style="18" customWidth="1"/>
    <col min="8451" max="8451" width="12.53125" style="18" customWidth="1"/>
    <col min="8452" max="8452" width="1.86328125" style="18" customWidth="1"/>
    <col min="8453" max="8453" width="2" style="18" customWidth="1"/>
    <col min="8454" max="8454" width="16" style="18" customWidth="1"/>
    <col min="8455" max="8455" width="26" style="18" customWidth="1"/>
    <col min="8456" max="8456" width="9" style="18"/>
    <col min="8457" max="8457" width="9" style="18" customWidth="1"/>
    <col min="8458" max="8704" width="9" style="18"/>
    <col min="8705" max="8705" width="9.86328125" style="18" customWidth="1"/>
    <col min="8706" max="8706" width="2" style="18" customWidth="1"/>
    <col min="8707" max="8707" width="12.53125" style="18" customWidth="1"/>
    <col min="8708" max="8708" width="1.86328125" style="18" customWidth="1"/>
    <col min="8709" max="8709" width="2" style="18" customWidth="1"/>
    <col min="8710" max="8710" width="16" style="18" customWidth="1"/>
    <col min="8711" max="8711" width="26" style="18" customWidth="1"/>
    <col min="8712" max="8712" width="9" style="18"/>
    <col min="8713" max="8713" width="9" style="18" customWidth="1"/>
    <col min="8714" max="8960" width="9" style="18"/>
    <col min="8961" max="8961" width="9.86328125" style="18" customWidth="1"/>
    <col min="8962" max="8962" width="2" style="18" customWidth="1"/>
    <col min="8963" max="8963" width="12.53125" style="18" customWidth="1"/>
    <col min="8964" max="8964" width="1.86328125" style="18" customWidth="1"/>
    <col min="8965" max="8965" width="2" style="18" customWidth="1"/>
    <col min="8966" max="8966" width="16" style="18" customWidth="1"/>
    <col min="8967" max="8967" width="26" style="18" customWidth="1"/>
    <col min="8968" max="8968" width="9" style="18"/>
    <col min="8969" max="8969" width="9" style="18" customWidth="1"/>
    <col min="8970" max="9216" width="9" style="18"/>
    <col min="9217" max="9217" width="9.86328125" style="18" customWidth="1"/>
    <col min="9218" max="9218" width="2" style="18" customWidth="1"/>
    <col min="9219" max="9219" width="12.53125" style="18" customWidth="1"/>
    <col min="9220" max="9220" width="1.86328125" style="18" customWidth="1"/>
    <col min="9221" max="9221" width="2" style="18" customWidth="1"/>
    <col min="9222" max="9222" width="16" style="18" customWidth="1"/>
    <col min="9223" max="9223" width="26" style="18" customWidth="1"/>
    <col min="9224" max="9224" width="9" style="18"/>
    <col min="9225" max="9225" width="9" style="18" customWidth="1"/>
    <col min="9226" max="9472" width="9" style="18"/>
    <col min="9473" max="9473" width="9.86328125" style="18" customWidth="1"/>
    <col min="9474" max="9474" width="2" style="18" customWidth="1"/>
    <col min="9475" max="9475" width="12.53125" style="18" customWidth="1"/>
    <col min="9476" max="9476" width="1.86328125" style="18" customWidth="1"/>
    <col min="9477" max="9477" width="2" style="18" customWidth="1"/>
    <col min="9478" max="9478" width="16" style="18" customWidth="1"/>
    <col min="9479" max="9479" width="26" style="18" customWidth="1"/>
    <col min="9480" max="9480" width="9" style="18"/>
    <col min="9481" max="9481" width="9" style="18" customWidth="1"/>
    <col min="9482" max="9728" width="9" style="18"/>
    <col min="9729" max="9729" width="9.86328125" style="18" customWidth="1"/>
    <col min="9730" max="9730" width="2" style="18" customWidth="1"/>
    <col min="9731" max="9731" width="12.53125" style="18" customWidth="1"/>
    <col min="9732" max="9732" width="1.86328125" style="18" customWidth="1"/>
    <col min="9733" max="9733" width="2" style="18" customWidth="1"/>
    <col min="9734" max="9734" width="16" style="18" customWidth="1"/>
    <col min="9735" max="9735" width="26" style="18" customWidth="1"/>
    <col min="9736" max="9736" width="9" style="18"/>
    <col min="9737" max="9737" width="9" style="18" customWidth="1"/>
    <col min="9738" max="9984" width="9" style="18"/>
    <col min="9985" max="9985" width="9.86328125" style="18" customWidth="1"/>
    <col min="9986" max="9986" width="2" style="18" customWidth="1"/>
    <col min="9987" max="9987" width="12.53125" style="18" customWidth="1"/>
    <col min="9988" max="9988" width="1.86328125" style="18" customWidth="1"/>
    <col min="9989" max="9989" width="2" style="18" customWidth="1"/>
    <col min="9990" max="9990" width="16" style="18" customWidth="1"/>
    <col min="9991" max="9991" width="26" style="18" customWidth="1"/>
    <col min="9992" max="9992" width="9" style="18"/>
    <col min="9993" max="9993" width="9" style="18" customWidth="1"/>
    <col min="9994" max="10240" width="9" style="18"/>
    <col min="10241" max="10241" width="9.86328125" style="18" customWidth="1"/>
    <col min="10242" max="10242" width="2" style="18" customWidth="1"/>
    <col min="10243" max="10243" width="12.53125" style="18" customWidth="1"/>
    <col min="10244" max="10244" width="1.86328125" style="18" customWidth="1"/>
    <col min="10245" max="10245" width="2" style="18" customWidth="1"/>
    <col min="10246" max="10246" width="16" style="18" customWidth="1"/>
    <col min="10247" max="10247" width="26" style="18" customWidth="1"/>
    <col min="10248" max="10248" width="9" style="18"/>
    <col min="10249" max="10249" width="9" style="18" customWidth="1"/>
    <col min="10250" max="10496" width="9" style="18"/>
    <col min="10497" max="10497" width="9.86328125" style="18" customWidth="1"/>
    <col min="10498" max="10498" width="2" style="18" customWidth="1"/>
    <col min="10499" max="10499" width="12.53125" style="18" customWidth="1"/>
    <col min="10500" max="10500" width="1.86328125" style="18" customWidth="1"/>
    <col min="10501" max="10501" width="2" style="18" customWidth="1"/>
    <col min="10502" max="10502" width="16" style="18" customWidth="1"/>
    <col min="10503" max="10503" width="26" style="18" customWidth="1"/>
    <col min="10504" max="10504" width="9" style="18"/>
    <col min="10505" max="10505" width="9" style="18" customWidth="1"/>
    <col min="10506" max="10752" width="9" style="18"/>
    <col min="10753" max="10753" width="9.86328125" style="18" customWidth="1"/>
    <col min="10754" max="10754" width="2" style="18" customWidth="1"/>
    <col min="10755" max="10755" width="12.53125" style="18" customWidth="1"/>
    <col min="10756" max="10756" width="1.86328125" style="18" customWidth="1"/>
    <col min="10757" max="10757" width="2" style="18" customWidth="1"/>
    <col min="10758" max="10758" width="16" style="18" customWidth="1"/>
    <col min="10759" max="10759" width="26" style="18" customWidth="1"/>
    <col min="10760" max="10760" width="9" style="18"/>
    <col min="10761" max="10761" width="9" style="18" customWidth="1"/>
    <col min="10762" max="11008" width="9" style="18"/>
    <col min="11009" max="11009" width="9.86328125" style="18" customWidth="1"/>
    <col min="11010" max="11010" width="2" style="18" customWidth="1"/>
    <col min="11011" max="11011" width="12.53125" style="18" customWidth="1"/>
    <col min="11012" max="11012" width="1.86328125" style="18" customWidth="1"/>
    <col min="11013" max="11013" width="2" style="18" customWidth="1"/>
    <col min="11014" max="11014" width="16" style="18" customWidth="1"/>
    <col min="11015" max="11015" width="26" style="18" customWidth="1"/>
    <col min="11016" max="11016" width="9" style="18"/>
    <col min="11017" max="11017" width="9" style="18" customWidth="1"/>
    <col min="11018" max="11264" width="9" style="18"/>
    <col min="11265" max="11265" width="9.86328125" style="18" customWidth="1"/>
    <col min="11266" max="11266" width="2" style="18" customWidth="1"/>
    <col min="11267" max="11267" width="12.53125" style="18" customWidth="1"/>
    <col min="11268" max="11268" width="1.86328125" style="18" customWidth="1"/>
    <col min="11269" max="11269" width="2" style="18" customWidth="1"/>
    <col min="11270" max="11270" width="16" style="18" customWidth="1"/>
    <col min="11271" max="11271" width="26" style="18" customWidth="1"/>
    <col min="11272" max="11272" width="9" style="18"/>
    <col min="11273" max="11273" width="9" style="18" customWidth="1"/>
    <col min="11274" max="11520" width="9" style="18"/>
    <col min="11521" max="11521" width="9.86328125" style="18" customWidth="1"/>
    <col min="11522" max="11522" width="2" style="18" customWidth="1"/>
    <col min="11523" max="11523" width="12.53125" style="18" customWidth="1"/>
    <col min="11524" max="11524" width="1.86328125" style="18" customWidth="1"/>
    <col min="11525" max="11525" width="2" style="18" customWidth="1"/>
    <col min="11526" max="11526" width="16" style="18" customWidth="1"/>
    <col min="11527" max="11527" width="26" style="18" customWidth="1"/>
    <col min="11528" max="11528" width="9" style="18"/>
    <col min="11529" max="11529" width="9" style="18" customWidth="1"/>
    <col min="11530" max="11776" width="9" style="18"/>
    <col min="11777" max="11777" width="9.86328125" style="18" customWidth="1"/>
    <col min="11778" max="11778" width="2" style="18" customWidth="1"/>
    <col min="11779" max="11779" width="12.53125" style="18" customWidth="1"/>
    <col min="11780" max="11780" width="1.86328125" style="18" customWidth="1"/>
    <col min="11781" max="11781" width="2" style="18" customWidth="1"/>
    <col min="11782" max="11782" width="16" style="18" customWidth="1"/>
    <col min="11783" max="11783" width="26" style="18" customWidth="1"/>
    <col min="11784" max="11784" width="9" style="18"/>
    <col min="11785" max="11785" width="9" style="18" customWidth="1"/>
    <col min="11786" max="12032" width="9" style="18"/>
    <col min="12033" max="12033" width="9.86328125" style="18" customWidth="1"/>
    <col min="12034" max="12034" width="2" style="18" customWidth="1"/>
    <col min="12035" max="12035" width="12.53125" style="18" customWidth="1"/>
    <col min="12036" max="12036" width="1.86328125" style="18" customWidth="1"/>
    <col min="12037" max="12037" width="2" style="18" customWidth="1"/>
    <col min="12038" max="12038" width="16" style="18" customWidth="1"/>
    <col min="12039" max="12039" width="26" style="18" customWidth="1"/>
    <col min="12040" max="12040" width="9" style="18"/>
    <col min="12041" max="12041" width="9" style="18" customWidth="1"/>
    <col min="12042" max="12288" width="9" style="18"/>
    <col min="12289" max="12289" width="9.86328125" style="18" customWidth="1"/>
    <col min="12290" max="12290" width="2" style="18" customWidth="1"/>
    <col min="12291" max="12291" width="12.53125" style="18" customWidth="1"/>
    <col min="12292" max="12292" width="1.86328125" style="18" customWidth="1"/>
    <col min="12293" max="12293" width="2" style="18" customWidth="1"/>
    <col min="12294" max="12294" width="16" style="18" customWidth="1"/>
    <col min="12295" max="12295" width="26" style="18" customWidth="1"/>
    <col min="12296" max="12296" width="9" style="18"/>
    <col min="12297" max="12297" width="9" style="18" customWidth="1"/>
    <col min="12298" max="12544" width="9" style="18"/>
    <col min="12545" max="12545" width="9.86328125" style="18" customWidth="1"/>
    <col min="12546" max="12546" width="2" style="18" customWidth="1"/>
    <col min="12547" max="12547" width="12.53125" style="18" customWidth="1"/>
    <col min="12548" max="12548" width="1.86328125" style="18" customWidth="1"/>
    <col min="12549" max="12549" width="2" style="18" customWidth="1"/>
    <col min="12550" max="12550" width="16" style="18" customWidth="1"/>
    <col min="12551" max="12551" width="26" style="18" customWidth="1"/>
    <col min="12552" max="12552" width="9" style="18"/>
    <col min="12553" max="12553" width="9" style="18" customWidth="1"/>
    <col min="12554" max="12800" width="9" style="18"/>
    <col min="12801" max="12801" width="9.86328125" style="18" customWidth="1"/>
    <col min="12802" max="12802" width="2" style="18" customWidth="1"/>
    <col min="12803" max="12803" width="12.53125" style="18" customWidth="1"/>
    <col min="12804" max="12804" width="1.86328125" style="18" customWidth="1"/>
    <col min="12805" max="12805" width="2" style="18" customWidth="1"/>
    <col min="12806" max="12806" width="16" style="18" customWidth="1"/>
    <col min="12807" max="12807" width="26" style="18" customWidth="1"/>
    <col min="12808" max="12808" width="9" style="18"/>
    <col min="12809" max="12809" width="9" style="18" customWidth="1"/>
    <col min="12810" max="13056" width="9" style="18"/>
    <col min="13057" max="13057" width="9.86328125" style="18" customWidth="1"/>
    <col min="13058" max="13058" width="2" style="18" customWidth="1"/>
    <col min="13059" max="13059" width="12.53125" style="18" customWidth="1"/>
    <col min="13060" max="13060" width="1.86328125" style="18" customWidth="1"/>
    <col min="13061" max="13061" width="2" style="18" customWidth="1"/>
    <col min="13062" max="13062" width="16" style="18" customWidth="1"/>
    <col min="13063" max="13063" width="26" style="18" customWidth="1"/>
    <col min="13064" max="13064" width="9" style="18"/>
    <col min="13065" max="13065" width="9" style="18" customWidth="1"/>
    <col min="13066" max="13312" width="9" style="18"/>
    <col min="13313" max="13313" width="9.86328125" style="18" customWidth="1"/>
    <col min="13314" max="13314" width="2" style="18" customWidth="1"/>
    <col min="13315" max="13315" width="12.53125" style="18" customWidth="1"/>
    <col min="13316" max="13316" width="1.86328125" style="18" customWidth="1"/>
    <col min="13317" max="13317" width="2" style="18" customWidth="1"/>
    <col min="13318" max="13318" width="16" style="18" customWidth="1"/>
    <col min="13319" max="13319" width="26" style="18" customWidth="1"/>
    <col min="13320" max="13320" width="9" style="18"/>
    <col min="13321" max="13321" width="9" style="18" customWidth="1"/>
    <col min="13322" max="13568" width="9" style="18"/>
    <col min="13569" max="13569" width="9.86328125" style="18" customWidth="1"/>
    <col min="13570" max="13570" width="2" style="18" customWidth="1"/>
    <col min="13571" max="13571" width="12.53125" style="18" customWidth="1"/>
    <col min="13572" max="13572" width="1.86328125" style="18" customWidth="1"/>
    <col min="13573" max="13573" width="2" style="18" customWidth="1"/>
    <col min="13574" max="13574" width="16" style="18" customWidth="1"/>
    <col min="13575" max="13575" width="26" style="18" customWidth="1"/>
    <col min="13576" max="13576" width="9" style="18"/>
    <col min="13577" max="13577" width="9" style="18" customWidth="1"/>
    <col min="13578" max="13824" width="9" style="18"/>
    <col min="13825" max="13825" width="9.86328125" style="18" customWidth="1"/>
    <col min="13826" max="13826" width="2" style="18" customWidth="1"/>
    <col min="13827" max="13827" width="12.53125" style="18" customWidth="1"/>
    <col min="13828" max="13828" width="1.86328125" style="18" customWidth="1"/>
    <col min="13829" max="13829" width="2" style="18" customWidth="1"/>
    <col min="13830" max="13830" width="16" style="18" customWidth="1"/>
    <col min="13831" max="13831" width="26" style="18" customWidth="1"/>
    <col min="13832" max="13832" width="9" style="18"/>
    <col min="13833" max="13833" width="9" style="18" customWidth="1"/>
    <col min="13834" max="14080" width="9" style="18"/>
    <col min="14081" max="14081" width="9.86328125" style="18" customWidth="1"/>
    <col min="14082" max="14082" width="2" style="18" customWidth="1"/>
    <col min="14083" max="14083" width="12.53125" style="18" customWidth="1"/>
    <col min="14084" max="14084" width="1.86328125" style="18" customWidth="1"/>
    <col min="14085" max="14085" width="2" style="18" customWidth="1"/>
    <col min="14086" max="14086" width="16" style="18" customWidth="1"/>
    <col min="14087" max="14087" width="26" style="18" customWidth="1"/>
    <col min="14088" max="14088" width="9" style="18"/>
    <col min="14089" max="14089" width="9" style="18" customWidth="1"/>
    <col min="14090" max="14336" width="9" style="18"/>
    <col min="14337" max="14337" width="9.86328125" style="18" customWidth="1"/>
    <col min="14338" max="14338" width="2" style="18" customWidth="1"/>
    <col min="14339" max="14339" width="12.53125" style="18" customWidth="1"/>
    <col min="14340" max="14340" width="1.86328125" style="18" customWidth="1"/>
    <col min="14341" max="14341" width="2" style="18" customWidth="1"/>
    <col min="14342" max="14342" width="16" style="18" customWidth="1"/>
    <col min="14343" max="14343" width="26" style="18" customWidth="1"/>
    <col min="14344" max="14344" width="9" style="18"/>
    <col min="14345" max="14345" width="9" style="18" customWidth="1"/>
    <col min="14346" max="14592" width="9" style="18"/>
    <col min="14593" max="14593" width="9.86328125" style="18" customWidth="1"/>
    <col min="14594" max="14594" width="2" style="18" customWidth="1"/>
    <col min="14595" max="14595" width="12.53125" style="18" customWidth="1"/>
    <col min="14596" max="14596" width="1.86328125" style="18" customWidth="1"/>
    <col min="14597" max="14597" width="2" style="18" customWidth="1"/>
    <col min="14598" max="14598" width="16" style="18" customWidth="1"/>
    <col min="14599" max="14599" width="26" style="18" customWidth="1"/>
    <col min="14600" max="14600" width="9" style="18"/>
    <col min="14601" max="14601" width="9" style="18" customWidth="1"/>
    <col min="14602" max="14848" width="9" style="18"/>
    <col min="14849" max="14849" width="9.86328125" style="18" customWidth="1"/>
    <col min="14850" max="14850" width="2" style="18" customWidth="1"/>
    <col min="14851" max="14851" width="12.53125" style="18" customWidth="1"/>
    <col min="14852" max="14852" width="1.86328125" style="18" customWidth="1"/>
    <col min="14853" max="14853" width="2" style="18" customWidth="1"/>
    <col min="14854" max="14854" width="16" style="18" customWidth="1"/>
    <col min="14855" max="14855" width="26" style="18" customWidth="1"/>
    <col min="14856" max="14856" width="9" style="18"/>
    <col min="14857" max="14857" width="9" style="18" customWidth="1"/>
    <col min="14858" max="15104" width="9" style="18"/>
    <col min="15105" max="15105" width="9.86328125" style="18" customWidth="1"/>
    <col min="15106" max="15106" width="2" style="18" customWidth="1"/>
    <col min="15107" max="15107" width="12.53125" style="18" customWidth="1"/>
    <col min="15108" max="15108" width="1.86328125" style="18" customWidth="1"/>
    <col min="15109" max="15109" width="2" style="18" customWidth="1"/>
    <col min="15110" max="15110" width="16" style="18" customWidth="1"/>
    <col min="15111" max="15111" width="26" style="18" customWidth="1"/>
    <col min="15112" max="15112" width="9" style="18"/>
    <col min="15113" max="15113" width="9" style="18" customWidth="1"/>
    <col min="15114" max="15360" width="9" style="18"/>
    <col min="15361" max="15361" width="9.86328125" style="18" customWidth="1"/>
    <col min="15362" max="15362" width="2" style="18" customWidth="1"/>
    <col min="15363" max="15363" width="12.53125" style="18" customWidth="1"/>
    <col min="15364" max="15364" width="1.86328125" style="18" customWidth="1"/>
    <col min="15365" max="15365" width="2" style="18" customWidth="1"/>
    <col min="15366" max="15366" width="16" style="18" customWidth="1"/>
    <col min="15367" max="15367" width="26" style="18" customWidth="1"/>
    <col min="15368" max="15368" width="9" style="18"/>
    <col min="15369" max="15369" width="9" style="18" customWidth="1"/>
    <col min="15370" max="15616" width="9" style="18"/>
    <col min="15617" max="15617" width="9.86328125" style="18" customWidth="1"/>
    <col min="15618" max="15618" width="2" style="18" customWidth="1"/>
    <col min="15619" max="15619" width="12.53125" style="18" customWidth="1"/>
    <col min="15620" max="15620" width="1.86328125" style="18" customWidth="1"/>
    <col min="15621" max="15621" width="2" style="18" customWidth="1"/>
    <col min="15622" max="15622" width="16" style="18" customWidth="1"/>
    <col min="15623" max="15623" width="26" style="18" customWidth="1"/>
    <col min="15624" max="15624" width="9" style="18"/>
    <col min="15625" max="15625" width="9" style="18" customWidth="1"/>
    <col min="15626" max="15872" width="9" style="18"/>
    <col min="15873" max="15873" width="9.86328125" style="18" customWidth="1"/>
    <col min="15874" max="15874" width="2" style="18" customWidth="1"/>
    <col min="15875" max="15875" width="12.53125" style="18" customWidth="1"/>
    <col min="15876" max="15876" width="1.86328125" style="18" customWidth="1"/>
    <col min="15877" max="15877" width="2" style="18" customWidth="1"/>
    <col min="15878" max="15878" width="16" style="18" customWidth="1"/>
    <col min="15879" max="15879" width="26" style="18" customWidth="1"/>
    <col min="15880" max="15880" width="9" style="18"/>
    <col min="15881" max="15881" width="9" style="18" customWidth="1"/>
    <col min="15882" max="16128" width="9" style="18"/>
    <col min="16129" max="16129" width="9.86328125" style="18" customWidth="1"/>
    <col min="16130" max="16130" width="2" style="18" customWidth="1"/>
    <col min="16131" max="16131" width="12.53125" style="18" customWidth="1"/>
    <col min="16132" max="16132" width="1.86328125" style="18" customWidth="1"/>
    <col min="16133" max="16133" width="2" style="18" customWidth="1"/>
    <col min="16134" max="16134" width="16" style="18" customWidth="1"/>
    <col min="16135" max="16135" width="26" style="18" customWidth="1"/>
    <col min="16136" max="16136" width="9" style="18"/>
    <col min="16137" max="16137" width="9" style="18" customWidth="1"/>
    <col min="16138" max="16384" width="9" style="18"/>
  </cols>
  <sheetData>
    <row r="1" spans="1:11" ht="17.25">
      <c r="D1" s="866" t="str">
        <f>UPPER(opd_pem)</f>
        <v>PEMERINTAH PROVINSI NUSA TENGGARA BARAT</v>
      </c>
      <c r="E1" s="866"/>
      <c r="F1" s="866"/>
      <c r="G1" s="866"/>
      <c r="H1" s="866"/>
      <c r="I1" s="866"/>
    </row>
    <row r="2" spans="1:11" ht="47.1" customHeight="1">
      <c r="D2" s="934" t="str">
        <f>UPPER(ukpbj)</f>
        <v>BADAN PENGELOLAAN KEUANGAN DAN ASET DAERAH</v>
      </c>
      <c r="E2" s="934"/>
      <c r="F2" s="934"/>
      <c r="G2" s="934"/>
      <c r="H2" s="934"/>
      <c r="I2" s="934"/>
    </row>
    <row r="3" spans="1:11" ht="17.850000000000001" customHeight="1">
      <c r="A3" s="24"/>
      <c r="B3" s="24"/>
      <c r="C3" s="24"/>
      <c r="D3" s="868" t="str">
        <f>ukpbj_almt</f>
        <v>Jalan Pejanggik Nomor 14 Telp.( 0370 ) 627689, 625345 Fax: 627677</v>
      </c>
      <c r="E3" s="868"/>
      <c r="F3" s="868"/>
      <c r="G3" s="868"/>
      <c r="H3" s="868"/>
      <c r="I3" s="868"/>
    </row>
    <row r="4" spans="1:11" ht="5.25" customHeight="1"/>
    <row r="5" spans="1:11" ht="15" customHeight="1">
      <c r="A5" s="27"/>
      <c r="B5" s="27"/>
      <c r="C5" s="27"/>
      <c r="D5" s="27"/>
      <c r="E5" s="27"/>
      <c r="F5" s="27"/>
      <c r="G5" s="27"/>
      <c r="H5" s="27"/>
      <c r="I5" s="72" t="str">
        <f>pp_lok&amp;", "&amp;Input!H79</f>
        <v>Mataram, 2 Oktober 2025</v>
      </c>
      <c r="K5" s="111" t="s">
        <v>985</v>
      </c>
    </row>
    <row r="6" spans="1:11" ht="15" customHeight="1">
      <c r="A6" s="60" t="s">
        <v>237</v>
      </c>
      <c r="B6" s="60"/>
      <c r="C6" s="60" t="s">
        <v>2</v>
      </c>
      <c r="D6" s="60" t="str">
        <f>Input!D79</f>
        <v>3/PP/Pkt.I/2023</v>
      </c>
      <c r="E6" s="60"/>
      <c r="F6" s="60"/>
      <c r="G6" s="60"/>
      <c r="H6" s="60"/>
      <c r="I6" s="60"/>
      <c r="K6" s="71" t="s">
        <v>253</v>
      </c>
    </row>
    <row r="7" spans="1:11" ht="15" customHeight="1">
      <c r="A7" s="37" t="s">
        <v>267</v>
      </c>
      <c r="B7" s="37"/>
      <c r="C7" s="37" t="s">
        <v>2</v>
      </c>
      <c r="D7" s="796" t="s">
        <v>928</v>
      </c>
      <c r="E7" s="37"/>
      <c r="F7" s="37"/>
      <c r="G7" s="37"/>
      <c r="H7" s="37"/>
      <c r="I7" s="37"/>
    </row>
    <row r="8" spans="1:11" ht="15" customHeight="1">
      <c r="A8" s="60" t="s">
        <v>848</v>
      </c>
      <c r="B8" s="60"/>
      <c r="C8" s="60"/>
      <c r="D8" s="60"/>
      <c r="E8" s="60"/>
      <c r="F8" s="60"/>
      <c r="G8" s="60"/>
      <c r="H8" s="60"/>
      <c r="I8" s="60"/>
    </row>
    <row r="9" spans="1:11" ht="15" customHeight="1">
      <c r="A9" s="1017" t="str">
        <f>bu_pim&amp;" "&amp;bu_nama</f>
        <v>Direktur PT. DARUSSALAM MEDIA GROUP</v>
      </c>
      <c r="B9" s="1017"/>
      <c r="C9" s="1017"/>
      <c r="D9" s="1017"/>
      <c r="E9" s="1017"/>
      <c r="F9" s="1017"/>
      <c r="G9" s="1017"/>
      <c r="H9" s="1017"/>
      <c r="I9" s="1017"/>
      <c r="J9" s="37" t="e">
        <f>#REF!</f>
        <v>#REF!</v>
      </c>
      <c r="K9" s="37"/>
    </row>
    <row r="10" spans="1:11" ht="15" customHeight="1">
      <c r="A10" s="60" t="s">
        <v>849</v>
      </c>
      <c r="B10" s="60"/>
      <c r="C10" s="60"/>
      <c r="D10" s="60"/>
      <c r="E10" s="60"/>
      <c r="F10" s="60"/>
      <c r="G10" s="60"/>
      <c r="H10" s="60"/>
      <c r="I10" s="60"/>
    </row>
    <row r="11" spans="1:11" ht="15" customHeight="1">
      <c r="A11" s="60"/>
      <c r="B11" s="60" t="str">
        <f>bu_lok</f>
        <v>Mataram</v>
      </c>
      <c r="C11" s="60"/>
      <c r="E11" s="60"/>
      <c r="F11" s="60"/>
      <c r="G11" s="60"/>
      <c r="H11" s="60"/>
      <c r="I11" s="60"/>
    </row>
    <row r="12" spans="1:11" ht="5.25" customHeight="1">
      <c r="A12" s="60"/>
      <c r="B12" s="60"/>
      <c r="C12" s="60"/>
      <c r="D12" s="60"/>
      <c r="E12" s="60"/>
      <c r="F12" s="60"/>
      <c r="G12" s="60"/>
      <c r="H12" s="60"/>
      <c r="I12" s="60"/>
    </row>
    <row r="13" spans="1:11" ht="15" customHeight="1">
      <c r="A13" s="60" t="s">
        <v>269</v>
      </c>
      <c r="B13" s="60"/>
      <c r="C13" s="60" t="s">
        <v>2</v>
      </c>
      <c r="D13" s="1017" t="str">
        <f>met_pil&amp;" Paket Pekerjaan "&amp;paket&amp;" Pada "&amp;opd_nama&amp;" Tahun Anggaran "&amp;tahun</f>
        <v>Pengadaan Langsung Paket Pekerjaan Belanja Pemeliharaan Bangunan Gedung-Bangunan Gedung Tempat Kerja-Bangunan Gedung Kantor-Pemeliharaan Gedung Bertingkat Pada Badan Pengelolaan Keuangan dan Aset Daerah Tahun Anggaran 2025</v>
      </c>
      <c r="E13" s="1017"/>
      <c r="F13" s="1017"/>
      <c r="G13" s="1017"/>
      <c r="H13" s="1017"/>
      <c r="I13" s="1017"/>
    </row>
    <row r="14" spans="1:11" ht="15" customHeight="1">
      <c r="A14" s="60"/>
      <c r="B14" s="60"/>
      <c r="C14" s="60"/>
      <c r="D14" s="1147"/>
      <c r="E14" s="1147"/>
      <c r="F14" s="1147"/>
      <c r="G14" s="1147"/>
      <c r="H14" s="1147"/>
      <c r="I14" s="1147"/>
    </row>
    <row r="15" spans="1:11" ht="5.25" customHeight="1"/>
    <row r="16" spans="1:11" ht="15" customHeight="1">
      <c r="A16" s="1021" t="str">
        <f>"Dengan ini Saudara kami undang untuk mengikuti proses "&amp;met_pil&amp;" paket Pengadaan "&amp;jenis&amp;" sebagai berikut:"</f>
        <v>Dengan ini Saudara kami undang untuk mengikuti proses Pengadaan Langsung paket Pengadaan Pekerjaan Konstruksi sebagai berikut:</v>
      </c>
      <c r="B16" s="1021"/>
      <c r="C16" s="1021"/>
      <c r="D16" s="1021"/>
      <c r="E16" s="1021"/>
      <c r="F16" s="1021"/>
      <c r="G16" s="1021"/>
      <c r="H16" s="1021"/>
      <c r="I16" s="1021"/>
    </row>
    <row r="17" spans="1:9" ht="15" customHeight="1">
      <c r="A17" s="1021"/>
      <c r="B17" s="1021"/>
      <c r="C17" s="1021"/>
      <c r="D17" s="1021"/>
      <c r="E17" s="1021"/>
      <c r="F17" s="1021"/>
      <c r="G17" s="1021"/>
      <c r="H17" s="1021"/>
      <c r="I17" s="1021"/>
    </row>
    <row r="18" spans="1:9" ht="15" customHeight="1">
      <c r="A18" s="811" t="s">
        <v>419</v>
      </c>
      <c r="B18" s="66" t="s">
        <v>850</v>
      </c>
      <c r="C18" s="38"/>
      <c r="D18" s="38"/>
      <c r="E18" s="37"/>
      <c r="F18" s="37"/>
      <c r="G18" s="37"/>
      <c r="H18" s="37"/>
      <c r="I18" s="37"/>
    </row>
    <row r="19" spans="1:9" ht="15" customHeight="1">
      <c r="B19" s="37" t="s">
        <v>259</v>
      </c>
      <c r="C19" s="38"/>
      <c r="D19" s="38"/>
      <c r="E19" s="37" t="s">
        <v>2</v>
      </c>
      <c r="F19" s="1021" t="str">
        <f>paket</f>
        <v>Belanja Pemeliharaan Bangunan Gedung-Bangunan Gedung Tempat Kerja-Bangunan Gedung Kantor-Pemeliharaan Gedung Bertingkat</v>
      </c>
      <c r="G19" s="1021"/>
      <c r="H19" s="1021"/>
      <c r="I19" s="1021"/>
    </row>
    <row r="20" spans="1:9" ht="15" customHeight="1">
      <c r="B20" s="37" t="s">
        <v>215</v>
      </c>
      <c r="C20" s="38"/>
      <c r="D20" s="38"/>
      <c r="E20" s="37" t="s">
        <v>2</v>
      </c>
      <c r="F20" s="1148" t="str">
        <f>lingkup</f>
        <v>Pengecatan tembok eksterior dan panel ACP Gedung Kantor BPKAD</v>
      </c>
      <c r="G20" s="1148"/>
      <c r="H20" s="1148"/>
      <c r="I20" s="1148"/>
    </row>
    <row r="21" spans="1:9" ht="15" customHeight="1">
      <c r="B21" s="37" t="s">
        <v>986</v>
      </c>
      <c r="C21" s="38"/>
      <c r="D21" s="38"/>
      <c r="E21" s="37" t="s">
        <v>2</v>
      </c>
      <c r="F21" s="390">
        <f>hps</f>
        <v>69862000</v>
      </c>
      <c r="G21" s="37"/>
      <c r="H21" s="37"/>
      <c r="I21" s="37"/>
    </row>
    <row r="22" spans="1:9" ht="15" customHeight="1">
      <c r="B22" s="37"/>
      <c r="C22" s="38"/>
      <c r="D22" s="38"/>
      <c r="E22" s="37"/>
      <c r="F22" s="1021" t="str">
        <f>"("&amp;hps_ter&amp;")"</f>
        <v>(Enam Puluh Sembilan Juta Delapan Ratus Enam Puluh Dua Ribu Rupiah)</v>
      </c>
      <c r="G22" s="1021"/>
      <c r="H22" s="1021"/>
      <c r="I22" s="1021"/>
    </row>
    <row r="23" spans="1:9" ht="15" customHeight="1">
      <c r="B23" s="37" t="s">
        <v>987</v>
      </c>
      <c r="C23" s="38"/>
      <c r="D23" s="38"/>
      <c r="E23" s="37" t="s">
        <v>2</v>
      </c>
      <c r="F23" s="1021" t="str">
        <f>dana&amp;" "&amp;opd_nama</f>
        <v>DPA Badan Pengelolaan Keuangan dan Aset Daerah</v>
      </c>
      <c r="G23" s="1021"/>
      <c r="H23" s="1021"/>
      <c r="I23" s="1021"/>
    </row>
    <row r="24" spans="1:9" ht="15" customHeight="1">
      <c r="B24" s="37"/>
      <c r="C24" s="38"/>
      <c r="D24" s="38"/>
      <c r="E24" s="37"/>
      <c r="F24" s="37"/>
      <c r="G24" s="37"/>
      <c r="H24" s="37"/>
      <c r="I24" s="37"/>
    </row>
    <row r="25" spans="1:9" ht="15" customHeight="1">
      <c r="A25" s="811" t="s">
        <v>422</v>
      </c>
      <c r="B25" s="66" t="s">
        <v>988</v>
      </c>
      <c r="C25" s="38"/>
      <c r="D25" s="38"/>
      <c r="E25" s="37"/>
      <c r="F25" s="37"/>
      <c r="G25" s="37"/>
      <c r="H25" s="37"/>
      <c r="I25" s="37"/>
    </row>
    <row r="26" spans="1:9" ht="15" customHeight="1">
      <c r="B26" s="37" t="s">
        <v>84</v>
      </c>
      <c r="C26" s="38"/>
      <c r="D26" s="38"/>
      <c r="E26" s="37" t="s">
        <v>2</v>
      </c>
      <c r="F26" s="1021" t="str">
        <f>tempat</f>
        <v>Badan Pengelolaan Keuangan dan Aset Daerah</v>
      </c>
      <c r="G26" s="1021"/>
      <c r="H26" s="1021"/>
      <c r="I26" s="1021"/>
    </row>
    <row r="27" spans="1:9" ht="15" customHeight="1">
      <c r="B27" s="37"/>
      <c r="C27" s="38"/>
      <c r="D27" s="38"/>
      <c r="E27" s="37"/>
      <c r="F27" s="1021"/>
      <c r="G27" s="1021"/>
      <c r="H27" s="1021"/>
      <c r="I27" s="1021"/>
    </row>
    <row r="28" spans="1:9" ht="15" customHeight="1">
      <c r="B28" s="37" t="s">
        <v>989</v>
      </c>
      <c r="C28" s="38"/>
      <c r="D28" s="38"/>
      <c r="E28" s="37" t="s">
        <v>2</v>
      </c>
      <c r="F28" s="37" t="str">
        <f>Input!$D$56</f>
        <v>(0370) 622373</v>
      </c>
      <c r="G28" s="37"/>
      <c r="H28" s="37"/>
      <c r="I28" s="37"/>
    </row>
    <row r="29" spans="1:9" ht="15" customHeight="1">
      <c r="B29" s="37" t="s">
        <v>87</v>
      </c>
      <c r="C29" s="38"/>
      <c r="D29" s="38"/>
      <c r="E29" s="37" t="s">
        <v>2</v>
      </c>
      <c r="F29" s="390" t="str">
        <f>Input!$D$57</f>
        <v>bpkad@ntbprov.go.id</v>
      </c>
      <c r="G29" s="37"/>
      <c r="H29" s="37"/>
      <c r="I29" s="37"/>
    </row>
    <row r="30" spans="1:9" ht="5.25" customHeight="1">
      <c r="B30" s="37"/>
      <c r="C30" s="38"/>
      <c r="D30" s="38"/>
      <c r="E30" s="37"/>
      <c r="F30" s="37"/>
      <c r="G30" s="37"/>
      <c r="H30" s="37"/>
      <c r="I30" s="37"/>
    </row>
    <row r="31" spans="1:9" ht="15" customHeight="1">
      <c r="A31" s="1021" t="s">
        <v>990</v>
      </c>
      <c r="B31" s="1021"/>
      <c r="C31" s="1021"/>
      <c r="D31" s="1021"/>
      <c r="E31" s="1021"/>
      <c r="F31" s="1021"/>
      <c r="G31" s="1021"/>
      <c r="H31" s="1021"/>
      <c r="I31" s="1021"/>
    </row>
    <row r="32" spans="1:9" ht="15" customHeight="1">
      <c r="A32" s="1151"/>
      <c r="B32" s="1151"/>
      <c r="C32" s="1151"/>
      <c r="D32" s="1151"/>
      <c r="E32" s="1151"/>
      <c r="F32" s="1151"/>
      <c r="G32" s="1151"/>
      <c r="H32" s="1151"/>
      <c r="I32" s="1151"/>
    </row>
    <row r="33" spans="1:10" ht="17.850000000000001" customHeight="1">
      <c r="A33" s="391" t="s">
        <v>258</v>
      </c>
      <c r="B33" s="1149" t="s">
        <v>975</v>
      </c>
      <c r="C33" s="1149"/>
      <c r="D33" s="1149"/>
      <c r="E33" s="1149"/>
      <c r="F33" s="1149"/>
      <c r="G33" s="391" t="s">
        <v>112</v>
      </c>
      <c r="H33" s="391" t="s">
        <v>239</v>
      </c>
      <c r="I33" s="394" t="s">
        <v>977</v>
      </c>
    </row>
    <row r="34" spans="1:10" ht="28.35" customHeight="1">
      <c r="A34" s="392">
        <v>1</v>
      </c>
      <c r="B34" s="1150" t="s">
        <v>991</v>
      </c>
      <c r="C34" s="1150"/>
      <c r="D34" s="1150"/>
      <c r="E34" s="1150"/>
      <c r="F34" s="1150"/>
      <c r="G34" s="393"/>
      <c r="H34" s="392" t="str">
        <f>TEXT(Input!$F$81,"[$-421]d mmmm yyyy")&amp;" s.d "&amp;Input!$G$81</f>
        <v>25 Juli 2023 s.d 1 Agustus 2023</v>
      </c>
      <c r="I34" s="393" t="str">
        <f>"s.d "&amp;Input!G83</f>
        <v>s.d 10.00 WITA</v>
      </c>
    </row>
    <row r="35" spans="1:10" ht="30" customHeight="1">
      <c r="A35" s="392">
        <v>2</v>
      </c>
      <c r="B35" s="1152" t="s">
        <v>992</v>
      </c>
      <c r="C35" s="1152"/>
      <c r="D35" s="1152"/>
      <c r="E35" s="1152"/>
      <c r="F35" s="1152"/>
      <c r="G35" s="393" t="str">
        <f>Input!E83</f>
        <v>Selasa</v>
      </c>
      <c r="H35" s="393" t="str">
        <f>Input!H83</f>
        <v>1 Agustus 2023</v>
      </c>
      <c r="I35" s="392" t="str">
        <f>Input!G83&amp;" s.d selesai"</f>
        <v>10.00 WITA s.d selesai</v>
      </c>
    </row>
    <row r="36" spans="1:10" ht="15" customHeight="1">
      <c r="A36" s="392">
        <v>3</v>
      </c>
      <c r="B36" s="1150" t="s">
        <v>993</v>
      </c>
      <c r="C36" s="1150"/>
      <c r="D36" s="1150"/>
      <c r="E36" s="1150"/>
      <c r="F36" s="1150"/>
      <c r="G36" s="393" t="str">
        <f>Input!E90</f>
        <v>Kamis</v>
      </c>
      <c r="H36" s="393" t="str">
        <f>Input!H90</f>
        <v>3 Agustus 2023</v>
      </c>
      <c r="I36" s="393"/>
    </row>
    <row r="37" spans="1:10" ht="5.25" customHeight="1">
      <c r="A37" s="64"/>
      <c r="B37" s="64"/>
      <c r="C37" s="64"/>
      <c r="D37" s="64"/>
      <c r="E37" s="64"/>
      <c r="F37" s="64"/>
      <c r="G37" s="64"/>
      <c r="H37" s="64"/>
      <c r="I37" s="64"/>
    </row>
    <row r="38" spans="1:10" ht="15" customHeight="1">
      <c r="A38" s="1021" t="s">
        <v>994</v>
      </c>
      <c r="B38" s="1021"/>
      <c r="C38" s="1021"/>
      <c r="D38" s="1021"/>
      <c r="E38" s="1021"/>
      <c r="F38" s="1021"/>
      <c r="G38" s="1021"/>
      <c r="H38" s="1021"/>
      <c r="I38" s="1021"/>
    </row>
    <row r="39" spans="1:10" ht="15" customHeight="1">
      <c r="A39" s="1021"/>
      <c r="B39" s="1021"/>
      <c r="C39" s="1021"/>
      <c r="D39" s="1021"/>
      <c r="E39" s="1021"/>
      <c r="F39" s="1021"/>
      <c r="G39" s="1021"/>
      <c r="H39" s="1021"/>
      <c r="I39" s="1021"/>
    </row>
    <row r="40" spans="1:10" ht="15" customHeight="1"/>
    <row r="41" spans="1:10" ht="15" customHeight="1">
      <c r="A41" s="37" t="s">
        <v>995</v>
      </c>
      <c r="B41" s="37"/>
      <c r="C41" s="38"/>
      <c r="D41" s="38"/>
      <c r="E41" s="37"/>
      <c r="F41" s="37"/>
      <c r="G41" s="37"/>
      <c r="H41" s="37"/>
      <c r="I41" s="37"/>
    </row>
    <row r="42" spans="1:10" ht="5.25" customHeight="1">
      <c r="C42" s="43"/>
      <c r="D42" s="43"/>
      <c r="G42" s="54"/>
      <c r="H42" s="53"/>
      <c r="I42" s="53"/>
    </row>
    <row r="43" spans="1:10" ht="15" customHeight="1">
      <c r="C43" s="43"/>
      <c r="D43" s="43"/>
      <c r="H43" s="67" t="str">
        <f>pokja&amp;" pada"</f>
        <v>Pejabat Pengadaan pada</v>
      </c>
      <c r="I43" s="53"/>
      <c r="J43" s="53"/>
    </row>
    <row r="44" spans="1:10" ht="15" customHeight="1">
      <c r="C44" s="43"/>
      <c r="D44" s="43"/>
      <c r="H44" s="54" t="str">
        <f>ukpbj</f>
        <v>Badan Pengelolaan Keuangan dan Aset Daerah</v>
      </c>
      <c r="I44" s="53"/>
      <c r="J44" s="53"/>
    </row>
    <row r="45" spans="1:10" ht="15" customHeight="1">
      <c r="C45" s="43"/>
      <c r="D45" s="43"/>
      <c r="H45" s="44"/>
      <c r="I45" s="53"/>
      <c r="J45" s="53"/>
    </row>
    <row r="46" spans="1:10" ht="15" customHeight="1">
      <c r="C46" s="43"/>
      <c r="D46" s="43"/>
      <c r="H46" s="44"/>
      <c r="I46" s="53"/>
      <c r="J46" s="53"/>
    </row>
    <row r="47" spans="1:10" ht="15" customHeight="1">
      <c r="C47" s="43"/>
      <c r="D47" s="43"/>
      <c r="H47" s="44"/>
      <c r="I47" s="53"/>
      <c r="J47" s="53"/>
    </row>
    <row r="48" spans="1:10" ht="15" customHeight="1">
      <c r="C48" s="43"/>
      <c r="D48" s="43"/>
      <c r="H48" s="55" t="str">
        <f>_pan1</f>
        <v>Surmayanti Isnaini, S.IP</v>
      </c>
      <c r="I48" s="53"/>
      <c r="J48" s="53"/>
    </row>
    <row r="49" spans="1:11" ht="15" customHeight="1">
      <c r="C49" s="43"/>
      <c r="D49" s="43"/>
      <c r="H49" s="44" t="str">
        <f>"NIP. "&amp;Input!$D$59</f>
        <v>NIP. 199201122 01406 2 001</v>
      </c>
      <c r="I49" s="53"/>
      <c r="J49" s="53"/>
    </row>
    <row r="50" spans="1:11" ht="5.25" customHeight="1"/>
    <row r="51" spans="1:11" ht="19.350000000000001" customHeight="1">
      <c r="A51" s="899" t="s">
        <v>996</v>
      </c>
      <c r="B51" s="899"/>
      <c r="C51" s="899"/>
      <c r="D51" s="899"/>
      <c r="E51" s="899"/>
      <c r="F51" s="899"/>
      <c r="G51" s="899"/>
      <c r="H51" s="899"/>
      <c r="I51" s="899"/>
      <c r="K51" s="1177" t="s">
        <v>997</v>
      </c>
    </row>
    <row r="52" spans="1:11" ht="15" customHeight="1">
      <c r="A52" s="1153" t="str">
        <f>paket</f>
        <v>Belanja Pemeliharaan Bangunan Gedung-Bangunan Gedung Tempat Kerja-Bangunan Gedung Kantor-Pemeliharaan Gedung Bertingkat</v>
      </c>
      <c r="B52" s="1153"/>
      <c r="C52" s="1153"/>
      <c r="D52" s="1153"/>
      <c r="E52" s="1153"/>
      <c r="F52" s="1153"/>
      <c r="G52" s="1153"/>
      <c r="H52" s="1153"/>
      <c r="I52" s="1153"/>
      <c r="K52" s="1177"/>
    </row>
    <row r="53" spans="1:11" ht="15" customHeight="1">
      <c r="A53" s="1153" t="str">
        <f>opd_nama</f>
        <v>Badan Pengelolaan Keuangan dan Aset Daerah</v>
      </c>
      <c r="B53" s="1153"/>
      <c r="C53" s="1153"/>
      <c r="D53" s="1153"/>
      <c r="E53" s="1153"/>
      <c r="F53" s="1153"/>
      <c r="G53" s="1153"/>
      <c r="H53" s="1153"/>
      <c r="I53" s="1153"/>
      <c r="K53" s="1177"/>
    </row>
    <row r="54" spans="1:11" ht="15" customHeight="1">
      <c r="A54" s="1160" t="str">
        <f>"Tahun Anggaran "&amp;tahun</f>
        <v>Tahun Anggaran 2025</v>
      </c>
      <c r="B54" s="1160"/>
      <c r="C54" s="1160"/>
      <c r="D54" s="1160"/>
      <c r="E54" s="1160"/>
      <c r="F54" s="1160"/>
      <c r="G54" s="1160"/>
      <c r="H54" s="1160"/>
      <c r="I54" s="1160"/>
    </row>
    <row r="55" spans="1:11" ht="15" customHeight="1">
      <c r="A55" s="1161" t="str">
        <f>"Nomor: "&amp;Input!D80</f>
        <v>Nomor: 02/1/XII/Pj. P BPKAD/2025</v>
      </c>
      <c r="B55" s="1161"/>
      <c r="C55" s="1161"/>
      <c r="D55" s="1161"/>
      <c r="E55" s="1161"/>
      <c r="F55" s="1161"/>
      <c r="G55" s="1161"/>
      <c r="H55" s="1161"/>
      <c r="I55" s="1161"/>
    </row>
    <row r="56" spans="1:11" ht="15" customHeight="1">
      <c r="A56" s="60"/>
      <c r="B56" s="60"/>
      <c r="C56" s="60"/>
      <c r="D56" s="60"/>
      <c r="E56" s="60"/>
      <c r="F56" s="60"/>
      <c r="G56" s="60"/>
      <c r="H56" s="60"/>
      <c r="I56" s="60"/>
    </row>
    <row r="57" spans="1:11" ht="15" customHeight="1">
      <c r="A57" s="1021" t="str">
        <f>"Pada hari ini, "&amp;Input!E80&amp;" tanggal "&amp;Input!H80&amp;", dengan mengambil tempat di "&amp;tempat&amp;", telah diadakan Penjelasan Pekerjaan untuk paket tersebut di atas yang dihadiri oleh Pokja dan Pelaku Usaha peserta "&amp;met_pil&amp;" dengan acara sebagai berikut :"</f>
        <v>Pada hari ini, Selasa tanggal 25 Juli 2023, dengan mengambil tempat di Badan Pengelolaan Keuangan dan Aset Daerah, telah diadakan Penjelasan Pekerjaan untuk paket tersebut di atas yang dihadiri oleh Pokja dan Pelaku Usaha peserta Pengadaan Langsung dengan acara sebagai berikut :</v>
      </c>
      <c r="B57" s="1021"/>
      <c r="C57" s="1021"/>
      <c r="D57" s="1021"/>
      <c r="E57" s="1021"/>
      <c r="F57" s="1021"/>
      <c r="G57" s="1021"/>
      <c r="H57" s="1021"/>
      <c r="I57" s="1021"/>
    </row>
    <row r="58" spans="1:11" ht="15" customHeight="1">
      <c r="A58" s="1021"/>
      <c r="B58" s="1021"/>
      <c r="C58" s="1021"/>
      <c r="D58" s="1021"/>
      <c r="E58" s="1021"/>
      <c r="F58" s="1021"/>
      <c r="G58" s="1021"/>
      <c r="H58" s="1021"/>
      <c r="I58" s="1021"/>
    </row>
    <row r="59" spans="1:11" ht="15" customHeight="1">
      <c r="A59" s="1021"/>
      <c r="B59" s="1021"/>
      <c r="C59" s="1021"/>
      <c r="D59" s="1021"/>
      <c r="E59" s="1021"/>
      <c r="F59" s="1021"/>
      <c r="G59" s="1021"/>
      <c r="H59" s="1021"/>
      <c r="I59" s="1021"/>
      <c r="J59" s="37" t="e">
        <f>#REF!</f>
        <v>#REF!</v>
      </c>
      <c r="K59" s="37"/>
    </row>
    <row r="60" spans="1:11" ht="15" customHeight="1">
      <c r="A60" s="1021"/>
      <c r="B60" s="1021"/>
      <c r="C60" s="1021"/>
      <c r="D60" s="1021"/>
      <c r="E60" s="1021"/>
      <c r="F60" s="1021"/>
      <c r="G60" s="1021"/>
      <c r="H60" s="1021"/>
      <c r="I60" s="1021"/>
    </row>
    <row r="61" spans="1:11" ht="5.25" customHeight="1">
      <c r="A61" s="60"/>
      <c r="B61" s="60"/>
      <c r="C61" s="60"/>
      <c r="D61" s="60"/>
      <c r="E61" s="60"/>
      <c r="F61" s="60"/>
      <c r="G61" s="60"/>
      <c r="H61" s="60"/>
      <c r="I61" s="60"/>
    </row>
    <row r="62" spans="1:11" ht="15" customHeight="1">
      <c r="A62" s="890" t="s">
        <v>998</v>
      </c>
      <c r="B62" s="890"/>
      <c r="C62" s="890"/>
      <c r="D62" s="890"/>
      <c r="E62" s="37" t="s">
        <v>2</v>
      </c>
      <c r="F62" s="1021" t="str">
        <f>"Dipaparkan proses pemilihan penyedia dengan metode "&amp;met_pil&amp;" yang mengacu pada "&amp;aturan</f>
        <v>Dipaparkan proses pemilihan penyedia dengan metode Pengadaan Langsung yang mengacu pada Peraturan Presiden Republik Indonesia Nomor 46 Tahun 2025 beserta perubahan dan petunjuk teknisnya.</v>
      </c>
      <c r="G62" s="1021"/>
      <c r="H62" s="1021"/>
      <c r="I62" s="1021"/>
    </row>
    <row r="63" spans="1:11" ht="15" customHeight="1">
      <c r="A63" s="890"/>
      <c r="B63" s="890"/>
      <c r="C63" s="890"/>
      <c r="D63" s="890"/>
      <c r="E63" s="37"/>
      <c r="F63" s="1021"/>
      <c r="G63" s="1021"/>
      <c r="H63" s="1021"/>
      <c r="I63" s="1021"/>
    </row>
    <row r="64" spans="1:11" ht="15" customHeight="1">
      <c r="B64" s="37"/>
      <c r="C64" s="38"/>
      <c r="D64" s="38"/>
      <c r="E64" s="37"/>
      <c r="F64" s="1021"/>
      <c r="G64" s="1021"/>
      <c r="H64" s="1021"/>
      <c r="I64" s="1021"/>
    </row>
    <row r="65" spans="1:12" ht="5.25" customHeight="1">
      <c r="B65" s="37"/>
      <c r="C65" s="38"/>
      <c r="D65" s="38"/>
      <c r="E65" s="37"/>
      <c r="F65" s="390"/>
      <c r="G65" s="37"/>
      <c r="H65" s="37"/>
      <c r="I65" s="37"/>
    </row>
    <row r="66" spans="1:12" ht="15" customHeight="1">
      <c r="A66" s="37" t="s">
        <v>999</v>
      </c>
      <c r="B66" s="37"/>
      <c r="C66" s="37"/>
      <c r="D66" s="37"/>
      <c r="E66" s="37" t="s">
        <v>2</v>
      </c>
      <c r="F66" s="1021" t="s">
        <v>1000</v>
      </c>
      <c r="G66" s="1021"/>
      <c r="H66" s="1021"/>
      <c r="I66" s="1021"/>
    </row>
    <row r="67" spans="1:12" ht="15" customHeight="1">
      <c r="A67" s="37"/>
      <c r="B67" s="37"/>
      <c r="C67" s="37"/>
      <c r="D67" s="37"/>
      <c r="E67" s="37"/>
      <c r="F67" s="1021"/>
      <c r="G67" s="1021"/>
      <c r="H67" s="1021"/>
      <c r="I67" s="1021"/>
    </row>
    <row r="68" spans="1:12" ht="5.25" customHeight="1">
      <c r="A68" s="60"/>
      <c r="B68" s="60"/>
      <c r="C68" s="60"/>
      <c r="D68" s="60"/>
      <c r="E68" s="60"/>
      <c r="F68" s="60"/>
      <c r="G68" s="60"/>
      <c r="H68" s="60"/>
      <c r="I68" s="60"/>
    </row>
    <row r="69" spans="1:12" ht="15" customHeight="1">
      <c r="A69" s="37" t="s">
        <v>1001</v>
      </c>
      <c r="B69" s="37"/>
      <c r="C69" s="37"/>
      <c r="D69" s="37"/>
      <c r="E69" s="37" t="s">
        <v>2</v>
      </c>
      <c r="F69" s="1178" t="s">
        <v>280</v>
      </c>
      <c r="G69" s="890"/>
      <c r="H69" s="890"/>
      <c r="I69" s="890"/>
    </row>
    <row r="70" spans="1:12" ht="15" customHeight="1">
      <c r="A70" s="37"/>
      <c r="B70" s="37"/>
      <c r="C70" s="37"/>
      <c r="D70" s="37"/>
      <c r="E70" s="37"/>
      <c r="F70" s="890"/>
      <c r="G70" s="890"/>
      <c r="H70" s="890"/>
      <c r="I70" s="890"/>
    </row>
    <row r="71" spans="1:12" ht="15" customHeight="1">
      <c r="B71" s="37"/>
      <c r="C71" s="38"/>
      <c r="D71" s="38"/>
      <c r="E71" s="37"/>
      <c r="F71" s="890"/>
      <c r="G71" s="890"/>
      <c r="H71" s="890"/>
      <c r="I71" s="890"/>
    </row>
    <row r="72" spans="1:12" ht="5.25" customHeight="1">
      <c r="B72" s="37"/>
      <c r="C72" s="38"/>
      <c r="D72" s="38"/>
      <c r="E72" s="37"/>
      <c r="F72" s="390"/>
      <c r="G72" s="37"/>
      <c r="H72" s="37"/>
      <c r="I72" s="37"/>
    </row>
    <row r="73" spans="1:12" ht="15" customHeight="1">
      <c r="A73" s="37" t="s">
        <v>1002</v>
      </c>
      <c r="B73" s="37"/>
      <c r="C73" s="37"/>
      <c r="D73" s="37"/>
      <c r="E73" s="37" t="s">
        <v>2</v>
      </c>
      <c r="F73" s="1178" t="s">
        <v>280</v>
      </c>
      <c r="G73" s="890"/>
      <c r="H73" s="890"/>
      <c r="I73" s="890"/>
    </row>
    <row r="74" spans="1:12" ht="15" customHeight="1">
      <c r="A74" s="37"/>
      <c r="B74" s="37"/>
      <c r="C74" s="37"/>
      <c r="D74" s="37"/>
      <c r="E74" s="37"/>
      <c r="F74" s="890"/>
      <c r="G74" s="890"/>
      <c r="H74" s="890"/>
      <c r="I74" s="890"/>
    </row>
    <row r="75" spans="1:12" ht="15" customHeight="1">
      <c r="A75" s="37"/>
      <c r="B75" s="37"/>
      <c r="C75" s="37"/>
      <c r="D75" s="37"/>
      <c r="E75" s="37"/>
      <c r="F75" s="890"/>
      <c r="G75" s="890"/>
      <c r="H75" s="890"/>
      <c r="I75" s="890"/>
    </row>
    <row r="76" spans="1:12" ht="15" customHeight="1">
      <c r="C76" s="43"/>
      <c r="D76" s="43"/>
      <c r="G76" s="54"/>
      <c r="H76" s="53"/>
      <c r="I76" s="53"/>
    </row>
    <row r="77" spans="1:12" customFormat="1">
      <c r="A77" s="100" t="s">
        <v>258</v>
      </c>
      <c r="B77" s="1162" t="str">
        <f>pokja&amp;" pada "&amp;ukpbj</f>
        <v>Pejabat Pengadaan pada Badan Pengelolaan Keuangan dan Aset Daerah</v>
      </c>
      <c r="C77" s="1163"/>
      <c r="D77" s="1163"/>
      <c r="E77" s="1163"/>
      <c r="F77" s="1164"/>
      <c r="G77" s="1162" t="s">
        <v>983</v>
      </c>
      <c r="H77" s="1163"/>
      <c r="I77" s="1164"/>
      <c r="J77" s="113"/>
      <c r="K77" s="113"/>
      <c r="L77" s="113"/>
    </row>
    <row r="78" spans="1:12" customFormat="1">
      <c r="A78" s="101"/>
      <c r="B78" s="101"/>
      <c r="C78" s="113"/>
      <c r="D78" s="113"/>
      <c r="E78" s="113"/>
      <c r="F78" s="183"/>
      <c r="G78" s="1165"/>
      <c r="H78" s="1166"/>
      <c r="I78" s="1167"/>
      <c r="J78" s="113"/>
      <c r="K78" s="113"/>
      <c r="L78" s="113"/>
    </row>
    <row r="79" spans="1:12" customFormat="1">
      <c r="A79" s="105">
        <v>1</v>
      </c>
      <c r="B79" s="106" t="str">
        <f>_pan1</f>
        <v>Surmayanti Isnaini, S.IP</v>
      </c>
      <c r="C79" s="107"/>
      <c r="D79" s="107"/>
      <c r="E79" s="107"/>
      <c r="F79" s="108"/>
      <c r="G79" s="1157" t="s">
        <v>419</v>
      </c>
      <c r="H79" s="1158"/>
      <c r="I79" s="1159"/>
      <c r="J79" s="120"/>
      <c r="K79" s="120"/>
      <c r="L79" s="120"/>
    </row>
    <row r="80" spans="1:12" customFormat="1">
      <c r="A80" s="105">
        <v>2</v>
      </c>
      <c r="B80" s="106">
        <f>_pan2</f>
        <v>0</v>
      </c>
      <c r="C80" s="107"/>
      <c r="D80" s="107"/>
      <c r="E80" s="107"/>
      <c r="F80" s="108"/>
      <c r="G80" s="1154" t="s">
        <v>422</v>
      </c>
      <c r="H80" s="1155"/>
      <c r="I80" s="1156"/>
      <c r="J80" s="120"/>
      <c r="K80" s="120"/>
      <c r="L80" s="120"/>
    </row>
    <row r="81" spans="1:12" customFormat="1">
      <c r="A81" s="105">
        <v>3</v>
      </c>
      <c r="B81" s="106">
        <f>_pan3</f>
        <v>0</v>
      </c>
      <c r="C81" s="107"/>
      <c r="D81" s="107"/>
      <c r="E81" s="107"/>
      <c r="F81" s="108"/>
      <c r="G81" s="1157" t="s">
        <v>425</v>
      </c>
      <c r="H81" s="1158"/>
      <c r="I81" s="1159"/>
      <c r="J81" s="120"/>
      <c r="K81" s="120"/>
      <c r="L81" s="120"/>
    </row>
    <row r="82" spans="1:12" customFormat="1" ht="14.25" hidden="1" customHeight="1">
      <c r="A82" s="105">
        <v>4</v>
      </c>
      <c r="B82" s="106">
        <f>_pan4</f>
        <v>0</v>
      </c>
      <c r="C82" s="107"/>
      <c r="D82" s="107"/>
      <c r="E82" s="59"/>
      <c r="F82" s="184"/>
      <c r="G82" s="1154" t="s">
        <v>435</v>
      </c>
      <c r="H82" s="1155"/>
      <c r="I82" s="1156"/>
      <c r="J82" s="59"/>
      <c r="K82" s="59"/>
      <c r="L82" s="59"/>
    </row>
    <row r="83" spans="1:12" customFormat="1" ht="14.25" hidden="1" customHeight="1">
      <c r="A83" s="105">
        <v>5</v>
      </c>
      <c r="B83" s="106">
        <f>_pan5</f>
        <v>0</v>
      </c>
      <c r="C83" s="107"/>
      <c r="D83" s="107"/>
      <c r="E83" s="59"/>
      <c r="F83" s="184"/>
      <c r="G83" s="1157" t="s">
        <v>441</v>
      </c>
      <c r="H83" s="1158"/>
      <c r="I83" s="1159"/>
      <c r="J83" s="59"/>
      <c r="K83" s="59"/>
      <c r="L83" s="59"/>
    </row>
    <row r="84" spans="1:12" customFormat="1" ht="5.25" customHeight="1">
      <c r="A84" s="14"/>
      <c r="B84" s="14"/>
      <c r="C84" s="15"/>
      <c r="D84" s="15"/>
      <c r="E84" s="15"/>
      <c r="F84" s="16"/>
      <c r="G84" s="1168"/>
      <c r="H84" s="1169"/>
      <c r="I84" s="1170"/>
      <c r="J84" s="59"/>
      <c r="K84" s="59"/>
      <c r="L84" s="59"/>
    </row>
    <row r="85" spans="1:12" customFormat="1">
      <c r="A85" s="100" t="s">
        <v>258</v>
      </c>
      <c r="B85" s="1162" t="str">
        <f>bu_nama</f>
        <v>PT. DARUSSALAM MEDIA GROUP</v>
      </c>
      <c r="C85" s="1163"/>
      <c r="D85" s="1163"/>
      <c r="E85" s="1163"/>
      <c r="F85" s="1164"/>
      <c r="G85" s="1162" t="s">
        <v>983</v>
      </c>
      <c r="H85" s="1163"/>
      <c r="I85" s="1164"/>
      <c r="J85" s="113"/>
      <c r="K85" s="113"/>
      <c r="L85" s="113"/>
    </row>
    <row r="86" spans="1:12" customFormat="1">
      <c r="A86" s="101"/>
      <c r="B86" s="101"/>
      <c r="C86" s="113"/>
      <c r="D86" s="113"/>
      <c r="E86" s="113"/>
      <c r="F86" s="183"/>
      <c r="G86" s="1165"/>
      <c r="H86" s="1166"/>
      <c r="I86" s="1167"/>
      <c r="J86" s="113"/>
      <c r="K86" s="113"/>
      <c r="L86" s="113"/>
    </row>
    <row r="87" spans="1:12" customFormat="1">
      <c r="A87" s="105">
        <v>1</v>
      </c>
      <c r="B87" s="106" t="str">
        <f>bu_pimn&amp;" ("&amp;bu_pim&amp;")"</f>
        <v>Saripudin (Direktur)</v>
      </c>
      <c r="C87" s="107"/>
      <c r="D87" s="107"/>
      <c r="E87" s="107"/>
      <c r="F87" s="108"/>
      <c r="G87" s="1179"/>
      <c r="H87" s="1158"/>
      <c r="I87" s="1159"/>
      <c r="J87" s="120"/>
      <c r="K87" s="120"/>
      <c r="L87" s="120"/>
    </row>
    <row r="88" spans="1:12" customFormat="1" ht="5.25" customHeight="1">
      <c r="A88" s="14"/>
      <c r="B88" s="14"/>
      <c r="C88" s="15"/>
      <c r="D88" s="15"/>
      <c r="E88" s="15"/>
      <c r="F88" s="16"/>
      <c r="G88" s="1168"/>
      <c r="H88" s="1169"/>
      <c r="I88" s="1170"/>
      <c r="J88" s="59"/>
      <c r="K88" s="59"/>
      <c r="L88" s="59"/>
    </row>
    <row r="89" spans="1:12" customFormat="1" ht="5.25" customHeight="1">
      <c r="I89" s="198"/>
    </row>
    <row r="90" spans="1:12" ht="5.25" customHeight="1"/>
    <row r="91" spans="1:12" ht="18.75" customHeight="1">
      <c r="A91" s="899" t="s">
        <v>1003</v>
      </c>
      <c r="B91" s="899"/>
      <c r="C91" s="899"/>
      <c r="D91" s="899"/>
      <c r="E91" s="899"/>
      <c r="F91" s="899"/>
      <c r="G91" s="899"/>
      <c r="H91" s="899"/>
      <c r="I91" s="899"/>
    </row>
    <row r="92" spans="1:12">
      <c r="A92" s="1153" t="str">
        <f>paket</f>
        <v>Belanja Pemeliharaan Bangunan Gedung-Bangunan Gedung Tempat Kerja-Bangunan Gedung Kantor-Pemeliharaan Gedung Bertingkat</v>
      </c>
      <c r="B92" s="1153"/>
      <c r="C92" s="1153"/>
      <c r="D92" s="1153"/>
      <c r="E92" s="1153"/>
      <c r="F92" s="1153"/>
      <c r="G92" s="1153"/>
      <c r="H92" s="1153"/>
      <c r="I92" s="1153"/>
    </row>
    <row r="93" spans="1:12">
      <c r="A93" s="1153" t="str">
        <f>opd_nama</f>
        <v>Badan Pengelolaan Keuangan dan Aset Daerah</v>
      </c>
      <c r="B93" s="1153"/>
      <c r="C93" s="1153"/>
      <c r="D93" s="1153"/>
      <c r="E93" s="1153"/>
      <c r="F93" s="1153"/>
      <c r="G93" s="1153"/>
      <c r="H93" s="1153"/>
      <c r="I93" s="1153"/>
    </row>
    <row r="94" spans="1:12">
      <c r="A94" s="1160" t="str">
        <f>"Tahun Anggaran "&amp;tahun</f>
        <v>Tahun Anggaran 2025</v>
      </c>
      <c r="B94" s="1160"/>
      <c r="C94" s="1160"/>
      <c r="D94" s="1160"/>
      <c r="E94" s="1160"/>
      <c r="F94" s="1160"/>
      <c r="G94" s="1160"/>
      <c r="H94" s="1160"/>
      <c r="I94" s="1160"/>
    </row>
    <row r="95" spans="1:12">
      <c r="A95" s="1161" t="str">
        <f>"Nomor: "&amp;Input!D83</f>
        <v>Nomor: 03/1/XII/Pj.P BPKAD/2025</v>
      </c>
      <c r="B95" s="1161"/>
      <c r="C95" s="1161"/>
      <c r="D95" s="1161"/>
      <c r="E95" s="1161"/>
      <c r="F95" s="1161"/>
      <c r="G95" s="1161"/>
      <c r="H95" s="1161"/>
      <c r="I95" s="1161"/>
      <c r="K95" s="71" t="s">
        <v>253</v>
      </c>
    </row>
    <row r="96" spans="1:12" ht="5.25" customHeight="1">
      <c r="A96" s="60"/>
      <c r="B96" s="60"/>
      <c r="C96" s="60"/>
      <c r="D96" s="60"/>
      <c r="E96" s="60"/>
      <c r="F96" s="60"/>
      <c r="G96" s="60"/>
      <c r="H96" s="60"/>
      <c r="I96" s="60"/>
    </row>
    <row r="97" spans="1:11">
      <c r="A97" s="1021" t="str">
        <f>"Pada hari ini, "&amp;Input!$E$83&amp;" tanggal "&amp;TEXT(Input!$F$83,"[$-421]d mmmm yyyy")&amp;", dengan mengambil tempat di "&amp;tempat&amp;", telah diadakan Pembukaan Penawaran untuk paket tersebut di atas yang dihadiri oleh Pokja dan Pelaku Usaha peserta "&amp;met_pil&amp;" dengan hasil sebagai berikut :"</f>
        <v>Pada hari ini, Selasa tanggal 1 Agustus 2023, dengan mengambil tempat di Badan Pengelolaan Keuangan dan Aset Daerah, telah diadakan Pembukaan Penawaran untuk paket tersebut di atas yang dihadiri oleh Pokja dan Pelaku Usaha peserta Pengadaan Langsung dengan hasil sebagai berikut :</v>
      </c>
      <c r="B97" s="1021"/>
      <c r="C97" s="1021"/>
      <c r="D97" s="1021"/>
      <c r="E97" s="1021"/>
      <c r="F97" s="1021"/>
      <c r="G97" s="1021"/>
      <c r="H97" s="1021"/>
      <c r="I97" s="1021"/>
    </row>
    <row r="98" spans="1:11">
      <c r="A98" s="1021"/>
      <c r="B98" s="1021"/>
      <c r="C98" s="1021"/>
      <c r="D98" s="1021"/>
      <c r="E98" s="1021"/>
      <c r="F98" s="1021"/>
      <c r="G98" s="1021"/>
      <c r="H98" s="1021"/>
      <c r="I98" s="1021"/>
    </row>
    <row r="99" spans="1:11">
      <c r="A99" s="1021"/>
      <c r="B99" s="1021"/>
      <c r="C99" s="1021"/>
      <c r="D99" s="1021"/>
      <c r="E99" s="1021"/>
      <c r="F99" s="1021"/>
      <c r="G99" s="1021"/>
      <c r="H99" s="1021"/>
      <c r="I99" s="1021"/>
    </row>
    <row r="100" spans="1:11">
      <c r="A100" s="1021"/>
      <c r="B100" s="1021"/>
      <c r="C100" s="1021"/>
      <c r="D100" s="1021"/>
      <c r="E100" s="1021"/>
      <c r="F100" s="1021"/>
      <c r="G100" s="1021"/>
      <c r="H100" s="1021"/>
      <c r="I100" s="1021"/>
    </row>
    <row r="101" spans="1:11">
      <c r="A101" s="60"/>
      <c r="B101" s="60"/>
      <c r="C101" s="60"/>
      <c r="D101" s="60"/>
      <c r="E101" s="60"/>
      <c r="F101" s="60"/>
      <c r="G101" s="60"/>
      <c r="H101" s="60"/>
      <c r="I101" s="60"/>
    </row>
    <row r="102" spans="1:11" ht="14.25" customHeight="1">
      <c r="A102" s="796" t="s">
        <v>419</v>
      </c>
      <c r="B102" s="37" t="s">
        <v>1004</v>
      </c>
      <c r="C102" s="37"/>
      <c r="D102" s="37"/>
      <c r="E102" s="37"/>
      <c r="F102" s="37"/>
      <c r="G102" s="37"/>
      <c r="H102" s="37"/>
      <c r="I102" s="37"/>
    </row>
    <row r="103" spans="1:11">
      <c r="A103" s="796" t="s">
        <v>422</v>
      </c>
      <c r="B103" s="37" t="s">
        <v>1005</v>
      </c>
      <c r="C103" s="37"/>
      <c r="D103" s="37"/>
      <c r="E103" s="37"/>
      <c r="F103" s="37"/>
      <c r="G103" s="37"/>
      <c r="H103" s="37"/>
      <c r="I103" s="37"/>
    </row>
    <row r="104" spans="1:11">
      <c r="A104" s="56"/>
      <c r="B104" s="37"/>
      <c r="C104" s="38"/>
      <c r="D104" s="38"/>
      <c r="E104" s="37"/>
      <c r="F104" s="56"/>
      <c r="G104" s="56"/>
      <c r="H104" s="56"/>
      <c r="I104" s="56"/>
    </row>
    <row r="105" spans="1:11">
      <c r="A105" s="1148" t="s">
        <v>1006</v>
      </c>
      <c r="B105" s="1148"/>
      <c r="C105" s="1148"/>
      <c r="D105" s="1148"/>
      <c r="E105" s="1148"/>
      <c r="F105" s="1148"/>
      <c r="G105" s="1148"/>
      <c r="H105" s="1148"/>
      <c r="I105" s="1148"/>
    </row>
    <row r="106" spans="1:11" ht="14.25" customHeight="1">
      <c r="A106" s="1148"/>
      <c r="B106" s="1148"/>
      <c r="C106" s="1148"/>
      <c r="D106" s="1148"/>
      <c r="E106" s="1148"/>
      <c r="F106" s="1148"/>
      <c r="G106" s="1148"/>
      <c r="H106" s="1148"/>
      <c r="I106" s="1148"/>
    </row>
    <row r="107" spans="1:11">
      <c r="C107" s="43"/>
      <c r="D107" s="43"/>
      <c r="G107" s="54"/>
      <c r="H107" s="53"/>
      <c r="I107" s="53"/>
    </row>
    <row r="108" spans="1:11">
      <c r="A108" s="100" t="s">
        <v>258</v>
      </c>
      <c r="B108" s="1162" t="str">
        <f>pokja</f>
        <v>Pejabat Pengadaan</v>
      </c>
      <c r="C108" s="1163"/>
      <c r="D108" s="1163"/>
      <c r="E108" s="1163"/>
      <c r="F108" s="1164"/>
      <c r="G108" s="1162" t="s">
        <v>983</v>
      </c>
      <c r="H108" s="1163"/>
      <c r="I108" s="1164"/>
    </row>
    <row r="109" spans="1:11">
      <c r="A109" s="101"/>
      <c r="B109" s="101"/>
      <c r="C109" s="113"/>
      <c r="D109" s="113"/>
      <c r="E109" s="113"/>
      <c r="F109" s="183"/>
      <c r="G109" s="1165"/>
      <c r="H109" s="1166"/>
      <c r="I109" s="1167"/>
    </row>
    <row r="110" spans="1:11" ht="14.25" customHeight="1">
      <c r="A110" s="105">
        <v>1</v>
      </c>
      <c r="B110" s="106" t="str">
        <f>_pan1</f>
        <v>Surmayanti Isnaini, S.IP</v>
      </c>
      <c r="C110" s="107"/>
      <c r="D110" s="107"/>
      <c r="E110" s="107"/>
      <c r="F110" s="108"/>
      <c r="G110" s="1157" t="s">
        <v>419</v>
      </c>
      <c r="H110" s="1158"/>
      <c r="I110" s="1159"/>
      <c r="K110" s="160" t="str">
        <f>"kalau Pokmil, row "&amp;ROW(K111)&amp;" - "&amp;ROW(K114)&amp;" di-unhide"</f>
        <v>kalau Pokmil, row 111 - 114 di-unhide</v>
      </c>
    </row>
    <row r="111" spans="1:11" ht="14.25" hidden="1" customHeight="1">
      <c r="A111" s="105">
        <v>2</v>
      </c>
      <c r="B111" s="106">
        <f>_pan2</f>
        <v>0</v>
      </c>
      <c r="C111" s="107"/>
      <c r="D111" s="107"/>
      <c r="E111" s="107"/>
      <c r="F111" s="108"/>
      <c r="G111" s="1154" t="s">
        <v>422</v>
      </c>
      <c r="H111" s="1155"/>
      <c r="I111" s="1156"/>
    </row>
    <row r="112" spans="1:11" ht="14.25" hidden="1" customHeight="1">
      <c r="A112" s="105">
        <v>3</v>
      </c>
      <c r="B112" s="106">
        <f>_pan3</f>
        <v>0</v>
      </c>
      <c r="C112" s="107"/>
      <c r="D112" s="107"/>
      <c r="E112" s="107"/>
      <c r="F112" s="108"/>
      <c r="G112" s="1157" t="s">
        <v>425</v>
      </c>
      <c r="H112" s="1158"/>
      <c r="I112" s="1159"/>
    </row>
    <row r="113" spans="1:9" ht="14.25" hidden="1" customHeight="1">
      <c r="A113" s="105">
        <v>4</v>
      </c>
      <c r="B113" s="106">
        <f>_pan4</f>
        <v>0</v>
      </c>
      <c r="C113" s="107"/>
      <c r="D113" s="107"/>
      <c r="E113" s="59"/>
      <c r="F113" s="184"/>
      <c r="G113" s="1154" t="s">
        <v>435</v>
      </c>
      <c r="H113" s="1155"/>
      <c r="I113" s="1156"/>
    </row>
    <row r="114" spans="1:9" ht="14.25" hidden="1" customHeight="1">
      <c r="A114" s="105">
        <v>5</v>
      </c>
      <c r="B114" s="106">
        <f>_pan5</f>
        <v>0</v>
      </c>
      <c r="C114" s="107"/>
      <c r="D114" s="107"/>
      <c r="E114" s="59"/>
      <c r="F114" s="184"/>
      <c r="G114" s="1157" t="s">
        <v>441</v>
      </c>
      <c r="H114" s="1158"/>
      <c r="I114" s="1159"/>
    </row>
    <row r="115" spans="1:9" ht="5.25" customHeight="1">
      <c r="A115" s="14"/>
      <c r="B115" s="14"/>
      <c r="C115" s="15"/>
      <c r="D115" s="15"/>
      <c r="E115" s="15"/>
      <c r="F115" s="16"/>
      <c r="G115" s="1168"/>
      <c r="H115" s="1169"/>
      <c r="I115" s="1170"/>
    </row>
    <row r="116" spans="1:9">
      <c r="A116" s="100" t="s">
        <v>258</v>
      </c>
      <c r="B116" s="1171" t="str">
        <f>bu_nama</f>
        <v>PT. DARUSSALAM MEDIA GROUP</v>
      </c>
      <c r="C116" s="1172"/>
      <c r="D116" s="1172"/>
      <c r="E116" s="1172"/>
      <c r="F116" s="1173"/>
      <c r="G116" s="1162" t="s">
        <v>983</v>
      </c>
      <c r="H116" s="1163"/>
      <c r="I116" s="1164"/>
    </row>
    <row r="117" spans="1:9">
      <c r="A117" s="101"/>
      <c r="B117" s="101"/>
      <c r="C117" s="113"/>
      <c r="D117" s="113"/>
      <c r="E117" s="113"/>
      <c r="F117" s="183"/>
      <c r="G117" s="1165"/>
      <c r="H117" s="1166"/>
      <c r="I117" s="1167"/>
    </row>
    <row r="118" spans="1:9" ht="22.35" customHeight="1">
      <c r="A118" s="105">
        <v>1</v>
      </c>
      <c r="B118" s="106" t="str">
        <f>bu_pimn&amp;" ("&amp;bu_pim&amp;")"</f>
        <v>Saripudin (Direktur)</v>
      </c>
      <c r="C118" s="107"/>
      <c r="D118" s="107"/>
      <c r="E118" s="107"/>
      <c r="F118" s="108"/>
      <c r="G118" s="1174" t="s">
        <v>419</v>
      </c>
      <c r="H118" s="1175"/>
      <c r="I118" s="1176"/>
    </row>
    <row r="119" spans="1:9" ht="5.25" customHeight="1">
      <c r="A119" s="14"/>
      <c r="B119" s="14"/>
      <c r="C119" s="15"/>
      <c r="D119" s="15"/>
      <c r="E119" s="15"/>
      <c r="F119" s="16"/>
      <c r="G119" s="1168"/>
      <c r="H119" s="1169"/>
      <c r="I119" s="1170"/>
    </row>
    <row r="120" spans="1:9">
      <c r="A120"/>
      <c r="B120"/>
      <c r="C120"/>
      <c r="D120"/>
      <c r="E120"/>
      <c r="F120"/>
      <c r="G120"/>
      <c r="H120"/>
      <c r="I120" s="198"/>
    </row>
    <row r="121" spans="1:9">
      <c r="C121" s="43"/>
      <c r="D121" s="43"/>
      <c r="G121" s="44"/>
      <c r="H121" s="53"/>
      <c r="I121" s="53"/>
    </row>
  </sheetData>
  <mergeCells count="64">
    <mergeCell ref="K51:K53"/>
    <mergeCell ref="A105:I106"/>
    <mergeCell ref="A97:I100"/>
    <mergeCell ref="F62:I64"/>
    <mergeCell ref="F66:I67"/>
    <mergeCell ref="F69:I71"/>
    <mergeCell ref="F73:I75"/>
    <mergeCell ref="A57:I60"/>
    <mergeCell ref="A62:D63"/>
    <mergeCell ref="A95:I95"/>
    <mergeCell ref="G84:I84"/>
    <mergeCell ref="B85:F85"/>
    <mergeCell ref="G85:I85"/>
    <mergeCell ref="G86:I86"/>
    <mergeCell ref="G87:I87"/>
    <mergeCell ref="G79:I79"/>
    <mergeCell ref="B116:F116"/>
    <mergeCell ref="G116:I116"/>
    <mergeCell ref="G117:I117"/>
    <mergeCell ref="G118:I118"/>
    <mergeCell ref="G119:I119"/>
    <mergeCell ref="G111:I111"/>
    <mergeCell ref="G112:I112"/>
    <mergeCell ref="G113:I113"/>
    <mergeCell ref="G114:I114"/>
    <mergeCell ref="G115:I115"/>
    <mergeCell ref="B108:F108"/>
    <mergeCell ref="G108:I108"/>
    <mergeCell ref="G109:I109"/>
    <mergeCell ref="G110:I110"/>
    <mergeCell ref="G88:I88"/>
    <mergeCell ref="A91:I91"/>
    <mergeCell ref="A92:I92"/>
    <mergeCell ref="A93:I93"/>
    <mergeCell ref="A94:I94"/>
    <mergeCell ref="G80:I80"/>
    <mergeCell ref="G81:I81"/>
    <mergeCell ref="G82:I82"/>
    <mergeCell ref="G83:I83"/>
    <mergeCell ref="A54:I54"/>
    <mergeCell ref="A55:I55"/>
    <mergeCell ref="B77:F77"/>
    <mergeCell ref="G77:I77"/>
    <mergeCell ref="G78:I78"/>
    <mergeCell ref="B35:F35"/>
    <mergeCell ref="B36:F36"/>
    <mergeCell ref="A51:I51"/>
    <mergeCell ref="A52:I52"/>
    <mergeCell ref="A53:I53"/>
    <mergeCell ref="A38:I39"/>
    <mergeCell ref="F20:I20"/>
    <mergeCell ref="F22:I22"/>
    <mergeCell ref="F23:I23"/>
    <mergeCell ref="B33:F33"/>
    <mergeCell ref="B34:F34"/>
    <mergeCell ref="A31:I32"/>
    <mergeCell ref="F26:I27"/>
    <mergeCell ref="D1:I1"/>
    <mergeCell ref="D2:I2"/>
    <mergeCell ref="D3:I3"/>
    <mergeCell ref="A9:I9"/>
    <mergeCell ref="F19:I19"/>
    <mergeCell ref="A16:I17"/>
    <mergeCell ref="D13:I14"/>
  </mergeCells>
  <hyperlinks>
    <hyperlink ref="K95" location="Input!A72" display="balik ke input" xr:uid="{00000000-0004-0000-0A00-000000000000}"/>
    <hyperlink ref="K6" location="Input!A72" display="balik ke input" xr:uid="{00000000-0004-0000-0A00-000001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rowBreaks count="2" manualBreakCount="2">
    <brk id="50" max="9" man="1"/>
    <brk id="89" max="9" man="1"/>
  </rowBreaks>
  <colBreaks count="1" manualBreakCount="1">
    <brk id="9" max="48" man="1"/>
  </col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92D050"/>
  </sheetPr>
  <dimension ref="A1:K1376"/>
  <sheetViews>
    <sheetView defaultGridColor="0" view="pageBreakPreview" topLeftCell="A131" colorId="22" zoomScale="130" zoomScaleNormal="75" workbookViewId="0">
      <selection activeCell="A139" sqref="A139:H139"/>
    </sheetView>
  </sheetViews>
  <sheetFormatPr defaultColWidth="11" defaultRowHeight="13.5"/>
  <cols>
    <col min="1" max="1" width="5.19921875" style="235" customWidth="1"/>
    <col min="2" max="2" width="3.53125" style="235" customWidth="1"/>
    <col min="3" max="3" width="5.19921875" style="235" customWidth="1"/>
    <col min="4" max="4" width="6.53125" style="235" customWidth="1"/>
    <col min="5" max="5" width="17" style="235" customWidth="1"/>
    <col min="6" max="6" width="13.6640625" style="235" customWidth="1"/>
    <col min="7" max="7" width="40.86328125" style="235" customWidth="1"/>
    <col min="8" max="8" width="11.19921875" style="235" customWidth="1"/>
    <col min="9" max="9" width="6.19921875" style="235" customWidth="1"/>
    <col min="10" max="16384" width="11" style="235"/>
  </cols>
  <sheetData>
    <row r="1" spans="1:9" s="233" customFormat="1" ht="19.5" customHeight="1">
      <c r="A1" s="236" t="str">
        <f>"LEMBAR KERJA EVALUASI "&amp;met_pil</f>
        <v>LEMBAR KERJA EVALUASI Pengadaan Langsung</v>
      </c>
      <c r="B1" s="237"/>
      <c r="C1" s="237"/>
      <c r="D1" s="237"/>
      <c r="E1" s="237"/>
      <c r="F1" s="237"/>
      <c r="G1" s="237"/>
      <c r="H1" s="237"/>
    </row>
    <row r="2" spans="1:9" ht="22.5" customHeight="1">
      <c r="A2" s="238" t="s">
        <v>1007</v>
      </c>
      <c r="B2" s="238"/>
      <c r="C2" s="813" t="s">
        <v>2</v>
      </c>
      <c r="D2" s="239" t="str">
        <f>paket</f>
        <v>Belanja Pemeliharaan Bangunan Gedung-Bangunan Gedung Tempat Kerja-Bangunan Gedung Kantor-Pemeliharaan Gedung Bertingkat</v>
      </c>
      <c r="E2" s="238"/>
      <c r="H2" s="240"/>
    </row>
    <row r="3" spans="1:9" ht="19.5" customHeight="1">
      <c r="A3" s="238" t="s">
        <v>24</v>
      </c>
      <c r="B3" s="238"/>
      <c r="C3" s="813" t="s">
        <v>2</v>
      </c>
      <c r="D3" s="238" t="s">
        <v>1008</v>
      </c>
      <c r="E3" s="241">
        <f>+hps</f>
        <v>69862000</v>
      </c>
      <c r="G3" s="242"/>
      <c r="H3" s="243" t="str">
        <f>bu_nama</f>
        <v>PT. DARUSSALAM MEDIA GROUP</v>
      </c>
    </row>
    <row r="4" spans="1:9" ht="15.75" customHeight="1">
      <c r="A4" s="1205" t="s">
        <v>1009</v>
      </c>
      <c r="B4" s="1206"/>
      <c r="C4" s="1206"/>
      <c r="D4" s="1206"/>
      <c r="E4" s="1206"/>
      <c r="F4" s="1206"/>
      <c r="G4" s="244" t="s">
        <v>1010</v>
      </c>
      <c r="H4" s="245" t="s">
        <v>1011</v>
      </c>
    </row>
    <row r="5" spans="1:9" ht="15.75" customHeight="1">
      <c r="A5" s="1207"/>
      <c r="B5" s="1208"/>
      <c r="C5" s="1208"/>
      <c r="D5" s="1208"/>
      <c r="E5" s="1208"/>
      <c r="F5" s="1208"/>
      <c r="G5" s="246" t="s">
        <v>1012</v>
      </c>
      <c r="H5" s="247" t="s">
        <v>1013</v>
      </c>
      <c r="I5" s="71" t="s">
        <v>253</v>
      </c>
    </row>
    <row r="6" spans="1:9" s="234" customFormat="1" ht="15" customHeight="1">
      <c r="A6" s="248"/>
      <c r="B6" s="249"/>
      <c r="C6" s="249"/>
      <c r="D6" s="249"/>
      <c r="E6" s="249"/>
      <c r="F6" s="249"/>
      <c r="G6" s="250"/>
      <c r="H6" s="251"/>
    </row>
    <row r="7" spans="1:9" s="234" customFormat="1" ht="15" customHeight="1">
      <c r="A7" s="252" t="s">
        <v>1014</v>
      </c>
      <c r="B7" s="253"/>
      <c r="C7" s="253"/>
      <c r="D7" s="253"/>
      <c r="E7" s="253"/>
      <c r="F7" s="253"/>
      <c r="G7" s="254"/>
      <c r="H7" s="255"/>
    </row>
    <row r="8" spans="1:9" s="234" customFormat="1" ht="15" customHeight="1">
      <c r="A8" s="256">
        <v>1</v>
      </c>
      <c r="B8" s="257" t="s">
        <v>1015</v>
      </c>
      <c r="C8" s="258"/>
      <c r="D8" s="258"/>
      <c r="E8" s="258"/>
      <c r="F8" s="258"/>
      <c r="G8" s="259"/>
      <c r="H8" s="260"/>
    </row>
    <row r="9" spans="1:9" s="234" customFormat="1" ht="15" customHeight="1">
      <c r="A9" s="261"/>
      <c r="B9" s="262" t="s">
        <v>1016</v>
      </c>
      <c r="C9" s="234" t="s">
        <v>1017</v>
      </c>
      <c r="G9" s="814" t="str">
        <f>bu_pim</f>
        <v>Direktur</v>
      </c>
      <c r="H9" s="264" t="s">
        <v>1018</v>
      </c>
    </row>
    <row r="10" spans="1:9" s="234" customFormat="1" ht="15" customHeight="1">
      <c r="A10" s="261"/>
      <c r="B10" s="265"/>
      <c r="C10" s="234" t="s">
        <v>1019</v>
      </c>
      <c r="G10" s="263" t="str">
        <f>bu_pimn</f>
        <v>Saripudin</v>
      </c>
      <c r="H10" s="266"/>
    </row>
    <row r="11" spans="1:9" s="234" customFormat="1" ht="15" customHeight="1">
      <c r="A11" s="261"/>
      <c r="B11" s="267" t="s">
        <v>1020</v>
      </c>
      <c r="C11" s="268" t="s">
        <v>1021</v>
      </c>
      <c r="D11" s="268"/>
      <c r="E11" s="268"/>
      <c r="F11" s="268"/>
      <c r="G11" s="269">
        <f>bu_hp</f>
        <v>199999800</v>
      </c>
      <c r="H11" s="270" t="s">
        <v>1018</v>
      </c>
      <c r="I11" s="234" t="str">
        <f>IF(G11&gt;hps,"TIDAK","YA")</f>
        <v>TIDAK</v>
      </c>
    </row>
    <row r="12" spans="1:9" s="234" customFormat="1" ht="15" customHeight="1">
      <c r="A12" s="261"/>
      <c r="B12" s="267" t="s">
        <v>1022</v>
      </c>
      <c r="C12" s="268" t="s">
        <v>1023</v>
      </c>
      <c r="D12" s="268"/>
      <c r="E12" s="268"/>
      <c r="F12" s="268"/>
      <c r="G12" s="815" t="str">
        <f>Input!H82</f>
        <v>1 Agustus 2023</v>
      </c>
      <c r="H12" s="270" t="s">
        <v>1018</v>
      </c>
    </row>
    <row r="13" spans="1:9" s="234" customFormat="1" ht="15" customHeight="1">
      <c r="A13" s="261"/>
      <c r="B13" s="267"/>
      <c r="C13" s="268" t="s">
        <v>1024</v>
      </c>
      <c r="D13" s="268"/>
      <c r="E13" s="268"/>
      <c r="F13" s="268"/>
      <c r="G13" s="272">
        <f>Input!D71</f>
        <v>15</v>
      </c>
      <c r="H13" s="270" t="s">
        <v>1018</v>
      </c>
    </row>
    <row r="14" spans="1:9" s="234" customFormat="1" ht="15" customHeight="1">
      <c r="A14" s="261"/>
      <c r="B14" s="267" t="s">
        <v>1025</v>
      </c>
      <c r="C14" s="268" t="s">
        <v>1026</v>
      </c>
      <c r="D14" s="268"/>
      <c r="E14" s="268"/>
      <c r="F14" s="268"/>
      <c r="G14" s="272">
        <f>masa</f>
        <v>30</v>
      </c>
      <c r="H14" s="270" t="s">
        <v>1018</v>
      </c>
    </row>
    <row r="15" spans="1:9" s="234" customFormat="1" ht="15" customHeight="1">
      <c r="A15" s="261"/>
      <c r="B15" s="267"/>
      <c r="C15" s="268"/>
      <c r="D15" s="268"/>
      <c r="E15" s="268"/>
      <c r="F15" s="268"/>
      <c r="G15" s="271"/>
      <c r="H15" s="273"/>
    </row>
    <row r="16" spans="1:9" s="234" customFormat="1" ht="15" customHeight="1">
      <c r="A16" s="274">
        <v>2</v>
      </c>
      <c r="B16" s="275" t="s">
        <v>1027</v>
      </c>
      <c r="C16" s="249"/>
      <c r="D16" s="249"/>
      <c r="E16" s="249"/>
      <c r="F16" s="249"/>
      <c r="G16" s="276" t="s">
        <v>1028</v>
      </c>
      <c r="H16" s="277" t="s">
        <v>1018</v>
      </c>
    </row>
    <row r="17" spans="1:8" s="234" customFormat="1" ht="15" customHeight="1">
      <c r="A17" s="278"/>
      <c r="B17" s="279"/>
      <c r="C17" s="280"/>
      <c r="D17" s="280"/>
      <c r="E17" s="280"/>
      <c r="F17" s="280"/>
      <c r="G17" s="281"/>
      <c r="H17" s="282"/>
    </row>
    <row r="18" spans="1:8" s="234" customFormat="1" ht="15" customHeight="1">
      <c r="A18" s="274">
        <v>3</v>
      </c>
      <c r="B18" s="275" t="s">
        <v>1029</v>
      </c>
      <c r="C18" s="249"/>
      <c r="D18" s="249"/>
      <c r="E18" s="249"/>
      <c r="F18" s="249"/>
      <c r="G18" s="276"/>
      <c r="H18" s="277"/>
    </row>
    <row r="19" spans="1:8" s="234" customFormat="1" ht="15" customHeight="1">
      <c r="A19" s="261"/>
      <c r="B19" s="283" t="s">
        <v>1016</v>
      </c>
      <c r="C19" s="284" t="s">
        <v>1030</v>
      </c>
      <c r="D19" s="284"/>
      <c r="E19" s="284"/>
      <c r="F19" s="284"/>
      <c r="G19" s="285" t="s">
        <v>1028</v>
      </c>
      <c r="H19" s="286" t="s">
        <v>1018</v>
      </c>
    </row>
    <row r="20" spans="1:8" s="234" customFormat="1" ht="15" customHeight="1">
      <c r="A20" s="261"/>
      <c r="B20" s="267" t="s">
        <v>1020</v>
      </c>
      <c r="C20" s="268" t="s">
        <v>1031</v>
      </c>
      <c r="D20" s="268"/>
      <c r="E20" s="268"/>
      <c r="F20" s="268"/>
      <c r="G20" s="285" t="s">
        <v>1028</v>
      </c>
      <c r="H20" s="270" t="s">
        <v>1018</v>
      </c>
    </row>
    <row r="21" spans="1:8" s="234" customFormat="1" ht="15" customHeight="1">
      <c r="A21" s="261"/>
      <c r="B21" s="267" t="s">
        <v>1022</v>
      </c>
      <c r="C21" s="268" t="s">
        <v>1032</v>
      </c>
      <c r="D21" s="268"/>
      <c r="E21" s="268"/>
      <c r="F21" s="268"/>
      <c r="G21" s="269" t="s">
        <v>1028</v>
      </c>
      <c r="H21" s="270" t="s">
        <v>1018</v>
      </c>
    </row>
    <row r="22" spans="1:8" s="234" customFormat="1" ht="15" customHeight="1">
      <c r="A22" s="261"/>
      <c r="B22" s="287" t="s">
        <v>1025</v>
      </c>
      <c r="C22" s="268" t="s">
        <v>1033</v>
      </c>
      <c r="D22" s="268"/>
      <c r="E22" s="268"/>
      <c r="F22" s="268"/>
      <c r="G22" s="269" t="s">
        <v>1028</v>
      </c>
      <c r="H22" s="270" t="s">
        <v>1018</v>
      </c>
    </row>
    <row r="23" spans="1:8" s="234" customFormat="1" ht="15" customHeight="1">
      <c r="A23" s="261"/>
      <c r="B23" s="287" t="s">
        <v>1034</v>
      </c>
      <c r="C23" s="1180" t="s">
        <v>1035</v>
      </c>
      <c r="D23" s="1180"/>
      <c r="E23" s="1180"/>
      <c r="F23" s="1181"/>
      <c r="G23" s="288" t="s">
        <v>1028</v>
      </c>
      <c r="H23" s="286" t="s">
        <v>1018</v>
      </c>
    </row>
    <row r="24" spans="1:8" s="234" customFormat="1" ht="15" customHeight="1">
      <c r="A24" s="261"/>
      <c r="B24" s="283" t="s">
        <v>1036</v>
      </c>
      <c r="C24" s="1180" t="s">
        <v>1037</v>
      </c>
      <c r="D24" s="1180"/>
      <c r="E24" s="1180"/>
      <c r="F24" s="1181"/>
      <c r="G24" s="288" t="s">
        <v>1028</v>
      </c>
      <c r="H24" s="286" t="s">
        <v>1018</v>
      </c>
    </row>
    <row r="25" spans="1:8" s="234" customFormat="1" ht="15" customHeight="1">
      <c r="A25" s="261"/>
      <c r="B25" s="283" t="s">
        <v>1038</v>
      </c>
      <c r="C25" s="284" t="s">
        <v>1039</v>
      </c>
      <c r="D25" s="284"/>
      <c r="E25" s="284"/>
      <c r="F25" s="284"/>
      <c r="G25" s="289" t="s">
        <v>1028</v>
      </c>
      <c r="H25" s="286" t="s">
        <v>1018</v>
      </c>
    </row>
    <row r="26" spans="1:8" s="234" customFormat="1" ht="15" customHeight="1">
      <c r="A26" s="261"/>
      <c r="B26" s="287" t="s">
        <v>1040</v>
      </c>
      <c r="C26" s="284" t="s">
        <v>1041</v>
      </c>
      <c r="D26" s="284"/>
      <c r="E26" s="284"/>
      <c r="F26" s="284"/>
      <c r="G26" s="289" t="s">
        <v>1028</v>
      </c>
      <c r="H26" s="286" t="s">
        <v>1018</v>
      </c>
    </row>
    <row r="27" spans="1:8" s="234" customFormat="1" ht="15" customHeight="1">
      <c r="A27" s="261"/>
      <c r="B27" s="283" t="s">
        <v>1042</v>
      </c>
      <c r="C27" s="1180" t="s">
        <v>1043</v>
      </c>
      <c r="D27" s="1180"/>
      <c r="E27" s="1180"/>
      <c r="F27" s="1181"/>
      <c r="G27" s="289" t="s">
        <v>1028</v>
      </c>
      <c r="H27" s="286" t="s">
        <v>1018</v>
      </c>
    </row>
    <row r="28" spans="1:8" s="234" customFormat="1" ht="15" customHeight="1">
      <c r="A28" s="261"/>
      <c r="B28" s="283" t="s">
        <v>1044</v>
      </c>
      <c r="C28" s="284" t="s">
        <v>1045</v>
      </c>
      <c r="D28" s="284"/>
      <c r="E28" s="284"/>
      <c r="F28" s="284"/>
      <c r="G28" s="289" t="s">
        <v>1028</v>
      </c>
      <c r="H28" s="286" t="s">
        <v>1018</v>
      </c>
    </row>
    <row r="29" spans="1:8" s="234" customFormat="1" ht="15" customHeight="1">
      <c r="A29" s="261"/>
      <c r="B29" s="283" t="s">
        <v>1046</v>
      </c>
      <c r="C29" s="284" t="s">
        <v>1047</v>
      </c>
      <c r="D29" s="284"/>
      <c r="E29" s="284"/>
      <c r="F29" s="284"/>
      <c r="G29" s="289" t="s">
        <v>1028</v>
      </c>
      <c r="H29" s="286" t="s">
        <v>1018</v>
      </c>
    </row>
    <row r="30" spans="1:8" s="234" customFormat="1" ht="15" customHeight="1">
      <c r="A30" s="261"/>
      <c r="B30" s="283" t="s">
        <v>1046</v>
      </c>
      <c r="C30" s="284" t="s">
        <v>1048</v>
      </c>
      <c r="D30" s="284"/>
      <c r="E30" s="284"/>
      <c r="F30" s="284"/>
      <c r="G30" s="289" t="s">
        <v>1028</v>
      </c>
      <c r="H30" s="286" t="s">
        <v>1018</v>
      </c>
    </row>
    <row r="31" spans="1:8" s="234" customFormat="1" ht="15" customHeight="1">
      <c r="A31" s="261"/>
      <c r="B31" s="262"/>
      <c r="G31" s="263"/>
      <c r="H31" s="266"/>
    </row>
    <row r="32" spans="1:8" s="234" customFormat="1" ht="15" customHeight="1">
      <c r="A32" s="274">
        <v>4</v>
      </c>
      <c r="B32" s="275" t="s">
        <v>1049</v>
      </c>
      <c r="C32" s="249"/>
      <c r="D32" s="249"/>
      <c r="E32" s="249"/>
      <c r="F32" s="249"/>
      <c r="G32" s="276" t="s">
        <v>1028</v>
      </c>
      <c r="H32" s="277" t="s">
        <v>1018</v>
      </c>
    </row>
    <row r="33" spans="1:8" s="234" customFormat="1" ht="15" customHeight="1">
      <c r="A33" s="290"/>
      <c r="B33" s="291"/>
      <c r="C33" s="292"/>
      <c r="D33" s="292"/>
      <c r="E33" s="292"/>
      <c r="F33" s="292"/>
      <c r="G33" s="293" t="s">
        <v>1028</v>
      </c>
      <c r="H33" s="294" t="s">
        <v>1018</v>
      </c>
    </row>
    <row r="34" spans="1:8" s="234" customFormat="1" ht="15" customHeight="1"/>
    <row r="35" spans="1:8" s="234" customFormat="1" ht="15" customHeight="1">
      <c r="A35" s="252" t="s">
        <v>1050</v>
      </c>
      <c r="B35" s="253"/>
      <c r="C35" s="253"/>
      <c r="D35" s="253"/>
      <c r="E35" s="253"/>
      <c r="F35" s="253"/>
      <c r="G35" s="295"/>
      <c r="H35" s="255"/>
    </row>
    <row r="36" spans="1:8" s="234" customFormat="1" ht="15" customHeight="1">
      <c r="A36" s="296">
        <v>1</v>
      </c>
      <c r="B36" s="297" t="s">
        <v>1030</v>
      </c>
      <c r="C36" s="298"/>
      <c r="D36" s="298"/>
      <c r="E36" s="298"/>
      <c r="F36" s="298"/>
      <c r="G36" s="299" t="s">
        <v>1051</v>
      </c>
      <c r="H36" s="300" t="s">
        <v>1018</v>
      </c>
    </row>
    <row r="37" spans="1:8" s="234" customFormat="1" ht="15" customHeight="1">
      <c r="A37" s="301"/>
      <c r="B37" s="302"/>
      <c r="C37" s="303"/>
      <c r="D37" s="303"/>
      <c r="E37" s="303"/>
      <c r="F37" s="303"/>
      <c r="G37" s="304"/>
      <c r="H37" s="305"/>
    </row>
    <row r="38" spans="1:8" s="234" customFormat="1" ht="15" customHeight="1">
      <c r="A38" s="306">
        <v>2</v>
      </c>
      <c r="B38" s="307" t="s">
        <v>1032</v>
      </c>
      <c r="C38" s="303"/>
      <c r="D38" s="303"/>
      <c r="E38" s="303"/>
      <c r="F38" s="303"/>
      <c r="G38" s="304"/>
      <c r="H38" s="305"/>
    </row>
    <row r="39" spans="1:8" s="234" customFormat="1" ht="15" customHeight="1">
      <c r="A39" s="308"/>
      <c r="B39" s="1182" t="s">
        <v>1052</v>
      </c>
      <c r="C39" s="1180"/>
      <c r="D39" s="1180"/>
      <c r="E39" s="1180"/>
      <c r="F39" s="1181"/>
      <c r="G39" s="309" t="s">
        <v>1051</v>
      </c>
      <c r="H39" s="310" t="s">
        <v>1018</v>
      </c>
    </row>
    <row r="40" spans="1:8" s="234" customFormat="1" ht="15" customHeight="1">
      <c r="A40" s="308"/>
      <c r="B40" s="1182" t="s">
        <v>1053</v>
      </c>
      <c r="C40" s="1180"/>
      <c r="D40" s="1180"/>
      <c r="E40" s="1180"/>
      <c r="F40" s="1181"/>
      <c r="G40" s="309" t="s">
        <v>1051</v>
      </c>
      <c r="H40" s="310" t="s">
        <v>1018</v>
      </c>
    </row>
    <row r="41" spans="1:8" s="234" customFormat="1" ht="15" customHeight="1">
      <c r="A41" s="311"/>
      <c r="B41" s="312"/>
      <c r="C41" s="313"/>
      <c r="D41" s="313"/>
      <c r="E41" s="313"/>
      <c r="F41" s="313"/>
      <c r="G41" s="314"/>
      <c r="H41" s="315"/>
    </row>
    <row r="42" spans="1:8" s="234" customFormat="1" ht="15" customHeight="1">
      <c r="A42" s="316">
        <v>3</v>
      </c>
      <c r="B42" s="1183" t="s">
        <v>1033</v>
      </c>
      <c r="C42" s="1184"/>
      <c r="D42" s="1184"/>
      <c r="E42" s="1184"/>
      <c r="F42" s="1185"/>
      <c r="G42" s="317" t="s">
        <v>1051</v>
      </c>
      <c r="H42" s="318" t="s">
        <v>1018</v>
      </c>
    </row>
    <row r="43" spans="1:8" s="234" customFormat="1" ht="15" customHeight="1">
      <c r="A43" s="311"/>
      <c r="B43" s="319"/>
      <c r="C43" s="313"/>
      <c r="D43" s="313"/>
      <c r="E43" s="313"/>
      <c r="F43" s="313"/>
      <c r="G43" s="320"/>
      <c r="H43" s="315"/>
    </row>
    <row r="44" spans="1:8" s="234" customFormat="1" ht="15" customHeight="1">
      <c r="A44" s="316">
        <v>4</v>
      </c>
      <c r="B44" s="1183" t="str">
        <f>+C23</f>
        <v>Deskripsi Varietas dari Kementerian Pertanian</v>
      </c>
      <c r="C44" s="1184"/>
      <c r="D44" s="1184"/>
      <c r="E44" s="1184"/>
      <c r="F44" s="1185"/>
      <c r="G44" s="317" t="s">
        <v>1051</v>
      </c>
      <c r="H44" s="318" t="s">
        <v>1018</v>
      </c>
    </row>
    <row r="45" spans="1:8" s="234" customFormat="1" ht="15" customHeight="1">
      <c r="A45" s="311"/>
      <c r="B45" s="321"/>
      <c r="C45" s="322"/>
      <c r="D45" s="322"/>
      <c r="E45" s="322"/>
      <c r="F45" s="322"/>
      <c r="G45" s="320"/>
      <c r="H45" s="315"/>
    </row>
    <row r="46" spans="1:8" s="234" customFormat="1" ht="15" customHeight="1">
      <c r="A46" s="316">
        <v>5</v>
      </c>
      <c r="B46" s="1183" t="str">
        <f>+C24</f>
        <v>Surat Rekomendasi Penyalur/Pedagang Benih dari BPSB yang berwenang</v>
      </c>
      <c r="C46" s="1184"/>
      <c r="D46" s="1184"/>
      <c r="E46" s="1184"/>
      <c r="F46" s="1185"/>
      <c r="G46" s="317" t="s">
        <v>1051</v>
      </c>
      <c r="H46" s="318" t="s">
        <v>1018</v>
      </c>
    </row>
    <row r="47" spans="1:8" s="234" customFormat="1" ht="15" customHeight="1">
      <c r="A47" s="323"/>
      <c r="B47" s="321"/>
      <c r="C47" s="313"/>
      <c r="D47" s="313"/>
      <c r="E47" s="313"/>
      <c r="F47" s="313"/>
      <c r="G47" s="324"/>
      <c r="H47" s="315"/>
    </row>
    <row r="48" spans="1:8" s="234" customFormat="1" ht="15" customHeight="1">
      <c r="A48" s="306">
        <v>6</v>
      </c>
      <c r="B48" s="307" t="s">
        <v>1054</v>
      </c>
      <c r="C48" s="303"/>
      <c r="D48" s="303"/>
      <c r="E48" s="303"/>
      <c r="F48" s="303"/>
      <c r="G48" s="304"/>
      <c r="H48" s="305"/>
    </row>
    <row r="49" spans="1:8" s="234" customFormat="1" ht="15" customHeight="1">
      <c r="A49" s="325"/>
      <c r="B49" s="1186" t="s">
        <v>1055</v>
      </c>
      <c r="C49" s="1187"/>
      <c r="D49" s="1187"/>
      <c r="E49" s="1187"/>
      <c r="F49" s="1188"/>
      <c r="G49" s="326" t="s">
        <v>1051</v>
      </c>
      <c r="H49" s="318" t="s">
        <v>1018</v>
      </c>
    </row>
    <row r="50" spans="1:8" s="234" customFormat="1" ht="15" customHeight="1">
      <c r="A50" s="311"/>
      <c r="B50" s="312"/>
      <c r="C50" s="313"/>
      <c r="D50" s="313"/>
      <c r="E50" s="313"/>
      <c r="F50" s="313"/>
      <c r="G50" s="314"/>
      <c r="H50" s="315"/>
    </row>
    <row r="51" spans="1:8" s="234" customFormat="1" ht="15" customHeight="1">
      <c r="A51" s="306">
        <v>7</v>
      </c>
      <c r="B51" s="1183" t="s">
        <v>1056</v>
      </c>
      <c r="C51" s="1184"/>
      <c r="D51" s="1184"/>
      <c r="E51" s="1184"/>
      <c r="F51" s="1185"/>
      <c r="G51" s="304" t="s">
        <v>1051</v>
      </c>
      <c r="H51" s="305" t="s">
        <v>1018</v>
      </c>
    </row>
    <row r="52" spans="1:8" s="234" customFormat="1" ht="15" customHeight="1">
      <c r="A52" s="311"/>
      <c r="B52" s="312"/>
      <c r="C52" s="313"/>
      <c r="D52" s="313"/>
      <c r="E52" s="313"/>
      <c r="F52" s="313"/>
      <c r="G52" s="314"/>
      <c r="H52" s="315"/>
    </row>
    <row r="53" spans="1:8" s="234" customFormat="1" ht="15" customHeight="1">
      <c r="A53" s="306">
        <v>8</v>
      </c>
      <c r="B53" s="1183" t="s">
        <v>1057</v>
      </c>
      <c r="C53" s="1184"/>
      <c r="D53" s="1184"/>
      <c r="E53" s="1184"/>
      <c r="F53" s="1185"/>
      <c r="G53" s="304" t="s">
        <v>1051</v>
      </c>
      <c r="H53" s="305" t="s">
        <v>1018</v>
      </c>
    </row>
    <row r="54" spans="1:8" s="234" customFormat="1" ht="15" customHeight="1">
      <c r="A54" s="311"/>
      <c r="B54" s="312"/>
      <c r="C54" s="313"/>
      <c r="D54" s="313"/>
      <c r="E54" s="313"/>
      <c r="F54" s="313"/>
      <c r="G54" s="314"/>
      <c r="H54" s="327"/>
    </row>
    <row r="55" spans="1:8" s="234" customFormat="1" ht="15" customHeight="1">
      <c r="A55" s="306">
        <v>9</v>
      </c>
      <c r="B55" s="307" t="s">
        <v>1058</v>
      </c>
      <c r="C55" s="303"/>
      <c r="D55" s="303"/>
      <c r="E55" s="303"/>
      <c r="F55" s="303"/>
      <c r="G55" s="304"/>
      <c r="H55" s="305"/>
    </row>
    <row r="56" spans="1:8" s="234" customFormat="1" ht="15" customHeight="1">
      <c r="A56" s="328"/>
      <c r="B56" s="329" t="s">
        <v>280</v>
      </c>
      <c r="C56" s="330" t="s">
        <v>1059</v>
      </c>
      <c r="D56" s="330"/>
      <c r="E56" s="330"/>
      <c r="F56" s="330"/>
      <c r="G56" s="331" t="s">
        <v>1051</v>
      </c>
      <c r="H56" s="318" t="s">
        <v>1018</v>
      </c>
    </row>
    <row r="57" spans="1:8" s="234" customFormat="1" ht="15" customHeight="1">
      <c r="A57" s="328"/>
      <c r="B57" s="329"/>
      <c r="C57" s="330"/>
      <c r="D57" s="330"/>
      <c r="E57" s="330"/>
      <c r="F57" s="330"/>
      <c r="G57" s="331"/>
      <c r="H57" s="318"/>
    </row>
    <row r="58" spans="1:8" s="234" customFormat="1" ht="15" customHeight="1">
      <c r="A58" s="328"/>
      <c r="B58" s="329"/>
      <c r="C58" s="330"/>
      <c r="D58" s="330"/>
      <c r="E58" s="330"/>
      <c r="F58" s="330"/>
      <c r="G58" s="331"/>
      <c r="H58" s="318"/>
    </row>
    <row r="59" spans="1:8" s="234" customFormat="1" ht="15" customHeight="1">
      <c r="A59" s="316">
        <v>10</v>
      </c>
      <c r="B59" s="332" t="s">
        <v>1060</v>
      </c>
      <c r="C59" s="330"/>
      <c r="D59" s="330"/>
      <c r="E59" s="330"/>
      <c r="F59" s="330"/>
      <c r="G59" s="317"/>
      <c r="H59" s="318"/>
    </row>
    <row r="60" spans="1:8" s="234" customFormat="1" ht="15" customHeight="1">
      <c r="A60" s="325"/>
      <c r="B60" s="329">
        <v>1</v>
      </c>
      <c r="C60" s="330" t="s">
        <v>1061</v>
      </c>
      <c r="D60" s="330"/>
      <c r="E60" s="330"/>
      <c r="F60" s="330" t="s">
        <v>1062</v>
      </c>
      <c r="G60" s="331" t="s">
        <v>1051</v>
      </c>
      <c r="H60" s="318" t="s">
        <v>1018</v>
      </c>
    </row>
    <row r="61" spans="1:8" s="234" customFormat="1" ht="15" customHeight="1">
      <c r="A61" s="325"/>
      <c r="B61" s="329">
        <v>2</v>
      </c>
      <c r="C61" s="330" t="s">
        <v>1063</v>
      </c>
      <c r="D61" s="330"/>
      <c r="E61" s="330"/>
      <c r="F61" s="330" t="s">
        <v>1062</v>
      </c>
      <c r="G61" s="331" t="s">
        <v>1051</v>
      </c>
      <c r="H61" s="318" t="s">
        <v>1018</v>
      </c>
    </row>
    <row r="62" spans="1:8" s="234" customFormat="1" ht="15" customHeight="1">
      <c r="A62" s="325"/>
      <c r="B62" s="329"/>
      <c r="C62" s="330"/>
      <c r="D62" s="330"/>
      <c r="E62" s="330"/>
      <c r="F62" s="330"/>
      <c r="G62" s="331"/>
      <c r="H62" s="318"/>
    </row>
    <row r="63" spans="1:8" s="234" customFormat="1" ht="15" customHeight="1">
      <c r="A63" s="311"/>
      <c r="B63" s="319"/>
      <c r="C63" s="313"/>
      <c r="D63" s="313"/>
      <c r="E63" s="313"/>
      <c r="F63" s="313"/>
      <c r="G63" s="320"/>
      <c r="H63" s="315"/>
    </row>
    <row r="64" spans="1:8" s="234" customFormat="1" ht="15" customHeight="1">
      <c r="A64" s="333"/>
      <c r="B64" s="334"/>
      <c r="C64" s="335"/>
      <c r="D64" s="335"/>
      <c r="E64" s="335"/>
      <c r="F64" s="335"/>
      <c r="G64" s="336"/>
      <c r="H64" s="337"/>
    </row>
    <row r="65" spans="1:11" s="234" customFormat="1" ht="15" customHeight="1">
      <c r="A65" s="338"/>
      <c r="B65" s="339"/>
      <c r="C65" s="340"/>
      <c r="D65" s="340"/>
      <c r="E65" s="340"/>
      <c r="F65" s="340"/>
      <c r="G65" s="341"/>
      <c r="H65" s="342"/>
    </row>
    <row r="66" spans="1:11" s="234" customFormat="1" ht="15" customHeight="1">
      <c r="A66" s="252" t="s">
        <v>1064</v>
      </c>
      <c r="B66" s="253"/>
      <c r="C66" s="253"/>
      <c r="D66" s="253"/>
      <c r="E66" s="253"/>
      <c r="F66" s="253"/>
      <c r="G66" s="254"/>
      <c r="H66" s="255"/>
    </row>
    <row r="67" spans="1:11" s="234" customFormat="1" ht="15" customHeight="1">
      <c r="A67" s="343">
        <v>1</v>
      </c>
      <c r="B67" s="257" t="s">
        <v>1065</v>
      </c>
      <c r="C67" s="258"/>
      <c r="D67" s="258"/>
      <c r="E67" s="258"/>
      <c r="F67" s="258"/>
      <c r="G67" s="344"/>
      <c r="H67" s="345"/>
    </row>
    <row r="68" spans="1:11" s="234" customFormat="1" ht="15" customHeight="1">
      <c r="A68" s="346"/>
      <c r="B68" s="265" t="s">
        <v>24</v>
      </c>
      <c r="C68" s="1189">
        <f>hps</f>
        <v>69862000</v>
      </c>
      <c r="D68" s="1189"/>
      <c r="E68" s="1189"/>
      <c r="G68" s="347">
        <f>G11</f>
        <v>199999800</v>
      </c>
      <c r="H68" s="266" t="s">
        <v>1018</v>
      </c>
    </row>
    <row r="69" spans="1:11" s="234" customFormat="1" ht="15" customHeight="1">
      <c r="A69" s="348"/>
      <c r="B69" s="349"/>
      <c r="C69" s="253"/>
      <c r="D69" s="253"/>
      <c r="E69" s="253"/>
      <c r="F69" s="253"/>
      <c r="G69" s="350"/>
      <c r="H69" s="351"/>
    </row>
    <row r="70" spans="1:11" s="234" customFormat="1" ht="15" customHeight="1">
      <c r="A70" s="258"/>
      <c r="B70" s="352"/>
      <c r="C70" s="353"/>
      <c r="D70" s="353"/>
      <c r="E70" s="353"/>
      <c r="F70" s="353"/>
      <c r="G70" s="354"/>
      <c r="H70" s="352"/>
    </row>
    <row r="71" spans="1:11" s="234" customFormat="1" ht="15" customHeight="1">
      <c r="A71" s="1190" t="str">
        <f>pp_lok&amp;", "&amp;TEXT(Input!$F$84,"[$-421]d mmmm yyyy")</f>
        <v>Mataram, 1 Agustus 2023</v>
      </c>
      <c r="B71" s="1190"/>
      <c r="C71" s="1190"/>
      <c r="D71" s="1190"/>
      <c r="E71" s="1190"/>
      <c r="F71" s="1190"/>
      <c r="G71" s="1190"/>
      <c r="H71" s="1190"/>
    </row>
    <row r="72" spans="1:11" s="234" customFormat="1" ht="15" customHeight="1">
      <c r="A72" s="1191" t="str">
        <f>ukpbj</f>
        <v>Badan Pengelolaan Keuangan dan Aset Daerah</v>
      </c>
      <c r="B72" s="1191"/>
      <c r="C72" s="1191"/>
      <c r="D72" s="1191"/>
      <c r="E72" s="1191"/>
      <c r="F72" s="1191"/>
      <c r="G72" s="1191"/>
      <c r="H72" s="1191"/>
      <c r="I72" s="355"/>
      <c r="J72" s="355"/>
      <c r="K72" s="355"/>
    </row>
    <row r="73" spans="1:11" s="234" customFormat="1" ht="15" customHeight="1">
      <c r="A73" s="1191" t="str">
        <f>pokja</f>
        <v>Pejabat Pengadaan</v>
      </c>
      <c r="B73" s="1191"/>
      <c r="C73" s="1191"/>
      <c r="D73" s="1191"/>
      <c r="E73" s="1191"/>
      <c r="F73" s="1191"/>
      <c r="G73" s="1191"/>
      <c r="H73" s="1191"/>
      <c r="I73" s="355"/>
      <c r="J73" s="355"/>
    </row>
    <row r="74" spans="1:11" s="234" customFormat="1" ht="15" customHeight="1">
      <c r="A74" s="356" t="s">
        <v>258</v>
      </c>
      <c r="B74" s="1192" t="s">
        <v>37</v>
      </c>
      <c r="C74" s="1192"/>
      <c r="D74" s="1192"/>
      <c r="E74" s="1192"/>
      <c r="F74" s="356" t="str">
        <f>IF(pokja="Pejabat Pengadaan","","Jabatan")</f>
        <v/>
      </c>
      <c r="G74" s="1192" t="s">
        <v>1066</v>
      </c>
      <c r="H74" s="1192"/>
    </row>
    <row r="75" spans="1:11" s="234" customFormat="1" ht="15" customHeight="1">
      <c r="A75" s="107"/>
      <c r="B75" s="107"/>
      <c r="C75" s="107"/>
      <c r="D75" s="107"/>
      <c r="E75" s="107"/>
      <c r="F75" s="107"/>
      <c r="G75" s="1193"/>
      <c r="H75" s="1193"/>
    </row>
    <row r="76" spans="1:11" s="234" customFormat="1" ht="15" customHeight="1">
      <c r="A76" s="107">
        <v>1</v>
      </c>
      <c r="B76" s="107" t="str">
        <f>_pan1</f>
        <v>Surmayanti Isnaini, S.IP</v>
      </c>
      <c r="C76" s="107"/>
      <c r="D76" s="107"/>
      <c r="E76" s="107"/>
      <c r="F76" s="198" t="str">
        <f>IF(pokja="Pejabat Pengadaan","","Ketua")</f>
        <v/>
      </c>
      <c r="G76" s="1194" t="s">
        <v>1067</v>
      </c>
      <c r="H76" s="1195"/>
    </row>
    <row r="77" spans="1:11" s="234" customFormat="1" ht="15" hidden="1" customHeight="1">
      <c r="A77" s="107">
        <v>2</v>
      </c>
      <c r="B77" s="107">
        <f>_pan2</f>
        <v>0</v>
      </c>
      <c r="C77" s="107"/>
      <c r="D77" s="107"/>
      <c r="E77" s="107"/>
      <c r="F77" s="198" t="s">
        <v>71</v>
      </c>
      <c r="G77" s="1196" t="s">
        <v>422</v>
      </c>
      <c r="H77" s="1197"/>
    </row>
    <row r="78" spans="1:11" s="234" customFormat="1" ht="15" hidden="1" customHeight="1">
      <c r="A78" s="107">
        <v>3</v>
      </c>
      <c r="B78" s="107">
        <f>_pan3</f>
        <v>0</v>
      </c>
      <c r="C78" s="107"/>
      <c r="D78" s="107"/>
      <c r="E78" s="107"/>
      <c r="F78" s="198" t="s">
        <v>74</v>
      </c>
      <c r="G78" s="1194" t="s">
        <v>1068</v>
      </c>
      <c r="H78" s="1195"/>
    </row>
    <row r="79" spans="1:11" s="234" customFormat="1" ht="15" hidden="1" customHeight="1">
      <c r="A79" s="107">
        <v>4</v>
      </c>
      <c r="B79" s="107">
        <f>_pan4</f>
        <v>0</v>
      </c>
      <c r="C79" s="107"/>
      <c r="D79" s="107"/>
      <c r="E79" s="107"/>
      <c r="F79" s="198" t="s">
        <v>74</v>
      </c>
      <c r="G79" s="1196" t="s">
        <v>435</v>
      </c>
      <c r="H79" s="1197"/>
    </row>
    <row r="80" spans="1:11" s="234" customFormat="1" ht="15" hidden="1" customHeight="1">
      <c r="A80" s="107">
        <v>5</v>
      </c>
      <c r="B80" s="107">
        <f>_pan5</f>
        <v>0</v>
      </c>
      <c r="C80" s="107"/>
      <c r="D80" s="107"/>
      <c r="E80" s="107"/>
      <c r="F80" s="198" t="s">
        <v>74</v>
      </c>
      <c r="G80" s="1194" t="s">
        <v>1069</v>
      </c>
      <c r="H80" s="1195"/>
    </row>
    <row r="81" spans="1:8" s="234" customFormat="1" ht="5.25" customHeight="1">
      <c r="A81" s="357"/>
      <c r="B81" s="357"/>
      <c r="C81" s="357"/>
      <c r="D81" s="357"/>
      <c r="E81" s="357"/>
      <c r="F81" s="357"/>
      <c r="G81" s="1198"/>
      <c r="H81" s="1198"/>
    </row>
    <row r="82" spans="1:8" s="234" customFormat="1" ht="15" customHeight="1"/>
    <row r="83" spans="1:8" s="233" customFormat="1" ht="20.100000000000001" customHeight="1">
      <c r="A83" s="236" t="str">
        <f>"LEMBAR KERJA EVALUASI "&amp;met_pil</f>
        <v>LEMBAR KERJA EVALUASI Pengadaan Langsung</v>
      </c>
      <c r="B83" s="237"/>
      <c r="C83" s="237"/>
      <c r="D83" s="237"/>
      <c r="E83" s="237"/>
      <c r="F83" s="237"/>
      <c r="G83" s="237"/>
      <c r="H83" s="237"/>
    </row>
    <row r="84" spans="1:8" ht="22.5" customHeight="1">
      <c r="A84" s="238" t="s">
        <v>1007</v>
      </c>
      <c r="B84" s="238"/>
      <c r="C84" s="813" t="s">
        <v>2</v>
      </c>
      <c r="D84" s="239" t="str">
        <f>paket</f>
        <v>Belanja Pemeliharaan Bangunan Gedung-Bangunan Gedung Tempat Kerja-Bangunan Gedung Kantor-Pemeliharaan Gedung Bertingkat</v>
      </c>
      <c r="E84" s="238"/>
      <c r="H84" s="240"/>
    </row>
    <row r="85" spans="1:8" ht="19.5" customHeight="1">
      <c r="A85" s="238" t="s">
        <v>24</v>
      </c>
      <c r="B85" s="238"/>
      <c r="C85" s="813" t="s">
        <v>2</v>
      </c>
      <c r="D85" s="238" t="s">
        <v>1008</v>
      </c>
      <c r="E85" s="241">
        <f>+hps</f>
        <v>69862000</v>
      </c>
      <c r="G85" s="242"/>
      <c r="H85" s="243" t="str">
        <f>bu_nama</f>
        <v>PT. DARUSSALAM MEDIA GROUP</v>
      </c>
    </row>
    <row r="86" spans="1:8" ht="15.75" customHeight="1">
      <c r="A86" s="1205" t="s">
        <v>1009</v>
      </c>
      <c r="B86" s="1206"/>
      <c r="C86" s="1206"/>
      <c r="D86" s="1206"/>
      <c r="E86" s="1206"/>
      <c r="F86" s="1206"/>
      <c r="G86" s="244" t="s">
        <v>1010</v>
      </c>
      <c r="H86" s="245" t="s">
        <v>1011</v>
      </c>
    </row>
    <row r="87" spans="1:8" ht="15.75" customHeight="1">
      <c r="A87" s="1207"/>
      <c r="B87" s="1208"/>
      <c r="C87" s="1208"/>
      <c r="D87" s="1208"/>
      <c r="E87" s="1208"/>
      <c r="F87" s="1208"/>
      <c r="G87" s="246" t="s">
        <v>1012</v>
      </c>
      <c r="H87" s="247" t="s">
        <v>1013</v>
      </c>
    </row>
    <row r="88" spans="1:8" s="234" customFormat="1" ht="15" customHeight="1">
      <c r="A88" s="248"/>
      <c r="B88" s="249"/>
      <c r="C88" s="249"/>
      <c r="D88" s="249"/>
      <c r="E88" s="249"/>
      <c r="F88" s="249"/>
      <c r="G88" s="250"/>
      <c r="H88" s="251"/>
    </row>
    <row r="89" spans="1:8" s="234" customFormat="1" ht="15" customHeight="1">
      <c r="A89" s="252" t="s">
        <v>1070</v>
      </c>
      <c r="B89" s="253"/>
      <c r="C89" s="253"/>
      <c r="D89" s="253"/>
      <c r="E89" s="253"/>
      <c r="F89" s="253"/>
      <c r="G89" s="295"/>
      <c r="H89" s="255"/>
    </row>
    <row r="90" spans="1:8" s="234" customFormat="1" ht="15" customHeight="1">
      <c r="A90" s="358">
        <v>1</v>
      </c>
      <c r="B90" s="359" t="s">
        <v>1071</v>
      </c>
      <c r="C90" s="360"/>
      <c r="D90" s="360"/>
      <c r="E90" s="360"/>
      <c r="F90" s="360"/>
      <c r="G90" s="361"/>
      <c r="H90" s="362"/>
    </row>
    <row r="91" spans="1:8" s="234" customFormat="1" ht="15" customHeight="1">
      <c r="A91" s="325"/>
      <c r="B91" s="363" t="s">
        <v>1016</v>
      </c>
      <c r="C91" s="364" t="s">
        <v>1071</v>
      </c>
      <c r="D91" s="365"/>
      <c r="E91" s="365"/>
      <c r="F91" s="366"/>
      <c r="G91" s="367" t="s">
        <v>1051</v>
      </c>
      <c r="H91" s="368" t="s">
        <v>1018</v>
      </c>
    </row>
    <row r="92" spans="1:8" s="234" customFormat="1" ht="15" customHeight="1">
      <c r="A92" s="325"/>
      <c r="B92" s="287" t="s">
        <v>1020</v>
      </c>
      <c r="C92" s="369" t="s">
        <v>1072</v>
      </c>
      <c r="D92" s="369"/>
      <c r="E92" s="369"/>
      <c r="F92" s="369"/>
      <c r="G92" s="816" t="s">
        <v>1051</v>
      </c>
      <c r="H92" s="310" t="s">
        <v>1018</v>
      </c>
    </row>
    <row r="93" spans="1:8" s="234" customFormat="1" ht="15" customHeight="1">
      <c r="A93" s="325"/>
      <c r="B93" s="287" t="s">
        <v>1022</v>
      </c>
      <c r="C93" s="369" t="s">
        <v>1073</v>
      </c>
      <c r="D93" s="369"/>
      <c r="E93" s="369"/>
      <c r="F93" s="369"/>
      <c r="G93" s="816" t="s">
        <v>1074</v>
      </c>
      <c r="H93" s="310" t="s">
        <v>1018</v>
      </c>
    </row>
    <row r="94" spans="1:8" s="234" customFormat="1" ht="15" customHeight="1">
      <c r="A94" s="311"/>
      <c r="B94" s="370"/>
      <c r="C94" s="371"/>
      <c r="D94" s="371"/>
      <c r="E94" s="371"/>
      <c r="F94" s="371"/>
      <c r="G94" s="372"/>
      <c r="H94" s="373"/>
    </row>
    <row r="95" spans="1:8" s="234" customFormat="1" ht="15" customHeight="1">
      <c r="A95" s="316">
        <v>2</v>
      </c>
      <c r="B95" s="332" t="s">
        <v>1075</v>
      </c>
      <c r="C95" s="330"/>
      <c r="D95" s="330"/>
      <c r="E95" s="330"/>
      <c r="F95" s="330"/>
      <c r="G95" s="317"/>
      <c r="H95" s="318"/>
    </row>
    <row r="96" spans="1:8" s="234" customFormat="1" ht="15" customHeight="1">
      <c r="A96" s="325"/>
      <c r="B96" s="287" t="s">
        <v>1016</v>
      </c>
      <c r="C96" s="369" t="s">
        <v>237</v>
      </c>
      <c r="D96" s="369"/>
      <c r="E96" s="369"/>
      <c r="F96" s="369"/>
      <c r="G96" s="309" t="s">
        <v>1076</v>
      </c>
      <c r="H96" s="310" t="s">
        <v>1018</v>
      </c>
    </row>
    <row r="97" spans="1:8" s="234" customFormat="1" ht="15" customHeight="1">
      <c r="A97" s="325"/>
      <c r="B97" s="287" t="s">
        <v>1020</v>
      </c>
      <c r="C97" s="369" t="s">
        <v>1072</v>
      </c>
      <c r="D97" s="369"/>
      <c r="E97" s="369"/>
      <c r="F97" s="369"/>
      <c r="G97" s="816" t="s">
        <v>1051</v>
      </c>
      <c r="H97" s="310" t="s">
        <v>1018</v>
      </c>
    </row>
    <row r="98" spans="1:8" s="234" customFormat="1" ht="15" customHeight="1">
      <c r="A98" s="325"/>
      <c r="B98" s="287" t="s">
        <v>1022</v>
      </c>
      <c r="C98" s="369" t="s">
        <v>1073</v>
      </c>
      <c r="D98" s="369"/>
      <c r="E98" s="369"/>
      <c r="F98" s="369"/>
      <c r="G98" s="816" t="s">
        <v>1074</v>
      </c>
      <c r="H98" s="310" t="s">
        <v>1018</v>
      </c>
    </row>
    <row r="99" spans="1:8" s="234" customFormat="1" ht="15" customHeight="1">
      <c r="A99" s="311"/>
      <c r="B99" s="319"/>
      <c r="C99" s="313"/>
      <c r="D99" s="313"/>
      <c r="E99" s="313"/>
      <c r="F99" s="313"/>
      <c r="G99" s="320"/>
      <c r="H99" s="315"/>
    </row>
    <row r="100" spans="1:8" s="234" customFormat="1" ht="15" customHeight="1">
      <c r="A100" s="306">
        <v>3</v>
      </c>
      <c r="B100" s="307" t="s">
        <v>1077</v>
      </c>
      <c r="C100" s="303"/>
      <c r="D100" s="303"/>
      <c r="E100" s="303"/>
      <c r="F100" s="303"/>
      <c r="G100" s="304"/>
      <c r="H100" s="305"/>
    </row>
    <row r="101" spans="1:8" s="234" customFormat="1" ht="15" customHeight="1">
      <c r="A101" s="325"/>
      <c r="B101" s="287" t="s">
        <v>1016</v>
      </c>
      <c r="C101" s="369" t="s">
        <v>188</v>
      </c>
      <c r="D101" s="369"/>
      <c r="E101" s="369"/>
      <c r="F101" s="369"/>
      <c r="G101" s="816" t="str">
        <f>bu_npwp</f>
        <v>03.990.125.5.8-911.000</v>
      </c>
      <c r="H101" s="310" t="s">
        <v>1018</v>
      </c>
    </row>
    <row r="102" spans="1:8" s="234" customFormat="1" ht="15" customHeight="1">
      <c r="A102" s="325"/>
      <c r="B102" s="287" t="s">
        <v>1020</v>
      </c>
      <c r="C102" s="369" t="s">
        <v>1078</v>
      </c>
      <c r="D102" s="369"/>
      <c r="E102" s="369"/>
      <c r="F102" s="369"/>
      <c r="G102" s="309" t="s">
        <v>1079</v>
      </c>
      <c r="H102" s="310" t="s">
        <v>1018</v>
      </c>
    </row>
    <row r="103" spans="1:8" s="234" customFormat="1" ht="15" customHeight="1">
      <c r="A103" s="323"/>
      <c r="B103" s="321"/>
      <c r="C103" s="313"/>
      <c r="D103" s="313"/>
      <c r="E103" s="313"/>
      <c r="F103" s="313"/>
      <c r="G103" s="324"/>
      <c r="H103" s="315"/>
    </row>
    <row r="104" spans="1:8" s="234" customFormat="1" ht="15" customHeight="1">
      <c r="A104" s="306">
        <v>4</v>
      </c>
      <c r="B104" s="307" t="s">
        <v>190</v>
      </c>
      <c r="C104" s="303"/>
      <c r="D104" s="303"/>
      <c r="E104" s="303"/>
      <c r="F104" s="303"/>
      <c r="G104" s="304"/>
      <c r="H104" s="305"/>
    </row>
    <row r="105" spans="1:8" s="234" customFormat="1" ht="15" customHeight="1">
      <c r="A105" s="325"/>
      <c r="B105" s="1211" t="s">
        <v>1080</v>
      </c>
      <c r="C105" s="1212"/>
      <c r="D105" s="1212"/>
      <c r="E105" s="1212"/>
      <c r="F105" s="1213"/>
      <c r="G105" s="817" t="str">
        <f>bu_almt</f>
        <v>JL Meninting 13 No.. 22C BTN Kekalik, Kel. Pagesangan Barat, Kota Mataram, Provinsi Nusa Tenggara Barat</v>
      </c>
      <c r="H105" s="374" t="s">
        <v>1018</v>
      </c>
    </row>
    <row r="106" spans="1:8" s="234" customFormat="1" ht="15" customHeight="1">
      <c r="A106" s="325"/>
      <c r="B106" s="1214"/>
      <c r="C106" s="1203"/>
      <c r="D106" s="1203"/>
      <c r="E106" s="1203"/>
      <c r="F106" s="1204"/>
      <c r="G106" s="326"/>
      <c r="H106" s="318"/>
    </row>
    <row r="107" spans="1:8" s="234" customFormat="1" ht="15" customHeight="1">
      <c r="A107" s="325"/>
      <c r="B107" s="1214"/>
      <c r="C107" s="1203"/>
      <c r="D107" s="1203"/>
      <c r="E107" s="1203"/>
      <c r="F107" s="1204"/>
      <c r="G107" s="326"/>
      <c r="H107" s="318"/>
    </row>
    <row r="108" spans="1:8" s="234" customFormat="1" ht="15" customHeight="1">
      <c r="A108" s="323"/>
      <c r="B108" s="321"/>
      <c r="C108" s="313"/>
      <c r="D108" s="313"/>
      <c r="E108" s="313"/>
      <c r="F108" s="313"/>
      <c r="G108" s="324"/>
      <c r="H108" s="315"/>
    </row>
    <row r="109" spans="1:8" s="234" customFormat="1" ht="15" customHeight="1">
      <c r="A109" s="306">
        <v>5</v>
      </c>
      <c r="B109" s="307" t="s">
        <v>1081</v>
      </c>
      <c r="C109" s="303"/>
      <c r="D109" s="303"/>
      <c r="E109" s="303"/>
      <c r="F109" s="303"/>
      <c r="G109" s="367"/>
      <c r="H109" s="305"/>
    </row>
    <row r="110" spans="1:8" s="234" customFormat="1" ht="14.25">
      <c r="A110" s="325"/>
      <c r="B110" s="287" t="s">
        <v>1016</v>
      </c>
      <c r="C110" s="1199" t="s">
        <v>1082</v>
      </c>
      <c r="D110" s="1199"/>
      <c r="E110" s="1199"/>
      <c r="F110" s="1200"/>
      <c r="G110" s="375"/>
      <c r="H110" s="310" t="s">
        <v>1018</v>
      </c>
    </row>
    <row r="111" spans="1:8" s="234" customFormat="1" ht="14.25">
      <c r="A111" s="325"/>
      <c r="B111" s="287"/>
      <c r="C111" s="369" t="s">
        <v>237</v>
      </c>
      <c r="D111" s="369"/>
      <c r="E111" s="369"/>
      <c r="F111" s="369"/>
      <c r="G111" s="376" t="str">
        <f>Input!D123</f>
        <v>AHU.00309.AH.02.01.TAHUN 2021</v>
      </c>
      <c r="H111" s="310"/>
    </row>
    <row r="112" spans="1:8" s="234" customFormat="1" ht="14.25">
      <c r="A112" s="325"/>
      <c r="B112" s="287"/>
      <c r="C112" s="369" t="s">
        <v>1083</v>
      </c>
      <c r="D112" s="369"/>
      <c r="E112" s="369"/>
      <c r="F112" s="369"/>
      <c r="G112" s="376" t="str">
        <f>Input!D124</f>
        <v>05 November 2021</v>
      </c>
      <c r="H112" s="310"/>
    </row>
    <row r="113" spans="1:8" s="234" customFormat="1" ht="14.25">
      <c r="A113" s="325"/>
      <c r="B113" s="287"/>
      <c r="C113" s="369" t="s">
        <v>205</v>
      </c>
      <c r="D113" s="369"/>
      <c r="E113" s="369"/>
      <c r="F113" s="369"/>
      <c r="G113" s="376" t="str">
        <f>Input!D125</f>
        <v>Finka Saradilla, S.H., M.Kn</v>
      </c>
      <c r="H113" s="310"/>
    </row>
    <row r="114" spans="1:8" s="234" customFormat="1" ht="15" customHeight="1">
      <c r="A114" s="325"/>
      <c r="B114" s="287" t="s">
        <v>1020</v>
      </c>
      <c r="C114" s="369" t="s">
        <v>1084</v>
      </c>
      <c r="D114" s="369"/>
      <c r="E114" s="369"/>
      <c r="F114" s="369"/>
      <c r="G114" s="816" t="str">
        <f>Input!D122</f>
        <v>5201082711800001</v>
      </c>
      <c r="H114" s="310" t="s">
        <v>1018</v>
      </c>
    </row>
    <row r="115" spans="1:8" s="234" customFormat="1" ht="15" customHeight="1">
      <c r="A115" s="323"/>
      <c r="B115" s="321"/>
      <c r="C115" s="313"/>
      <c r="D115" s="313"/>
      <c r="E115" s="313"/>
      <c r="F115" s="313"/>
      <c r="G115" s="324"/>
      <c r="H115" s="315"/>
    </row>
    <row r="116" spans="1:8" s="234" customFormat="1" ht="15" customHeight="1">
      <c r="A116" s="274">
        <v>6</v>
      </c>
      <c r="B116" s="275" t="s">
        <v>1085</v>
      </c>
      <c r="C116" s="249"/>
      <c r="D116" s="249"/>
      <c r="E116" s="249"/>
      <c r="F116" s="249"/>
      <c r="G116" s="276" t="s">
        <v>1051</v>
      </c>
      <c r="H116" s="277" t="s">
        <v>1018</v>
      </c>
    </row>
    <row r="117" spans="1:8" s="234" customFormat="1" ht="15" customHeight="1">
      <c r="A117" s="278"/>
      <c r="B117" s="279"/>
      <c r="C117" s="280"/>
      <c r="D117" s="280"/>
      <c r="E117" s="280"/>
      <c r="F117" s="280"/>
      <c r="G117" s="281"/>
      <c r="H117" s="282"/>
    </row>
    <row r="118" spans="1:8" s="234" customFormat="1" ht="15" customHeight="1">
      <c r="A118" s="316">
        <v>7</v>
      </c>
      <c r="B118" s="307" t="s">
        <v>1086</v>
      </c>
      <c r="C118" s="303"/>
      <c r="D118" s="303"/>
      <c r="E118" s="303"/>
      <c r="F118" s="303"/>
      <c r="G118" s="304" t="s">
        <v>1051</v>
      </c>
      <c r="H118" s="305" t="s">
        <v>1018</v>
      </c>
    </row>
    <row r="119" spans="1:8" s="234" customFormat="1" ht="15" customHeight="1">
      <c r="A119" s="325"/>
      <c r="B119" s="377" t="s">
        <v>1087</v>
      </c>
      <c r="C119" s="330"/>
      <c r="D119" s="330"/>
      <c r="E119" s="330"/>
      <c r="F119" s="330"/>
      <c r="G119" s="326"/>
      <c r="H119" s="318"/>
    </row>
    <row r="120" spans="1:8" s="234" customFormat="1" ht="45.75" customHeight="1">
      <c r="A120" s="325"/>
      <c r="B120" s="329" t="s">
        <v>459</v>
      </c>
      <c r="C120" s="1201" t="s">
        <v>1088</v>
      </c>
      <c r="D120" s="1201"/>
      <c r="E120" s="1201"/>
      <c r="F120" s="1202"/>
      <c r="G120" s="326"/>
      <c r="H120" s="318"/>
    </row>
    <row r="121" spans="1:8" s="234" customFormat="1" ht="29.85" customHeight="1">
      <c r="A121" s="325"/>
      <c r="B121" s="329" t="s">
        <v>461</v>
      </c>
      <c r="C121" s="1201" t="s">
        <v>1089</v>
      </c>
      <c r="D121" s="1201"/>
      <c r="E121" s="1201"/>
      <c r="F121" s="1202"/>
      <c r="G121" s="326"/>
      <c r="H121" s="318"/>
    </row>
    <row r="122" spans="1:8" s="234" customFormat="1" ht="29.1" customHeight="1">
      <c r="A122" s="325"/>
      <c r="B122" s="329" t="s">
        <v>469</v>
      </c>
      <c r="C122" s="1201" t="s">
        <v>1090</v>
      </c>
      <c r="D122" s="1201"/>
      <c r="E122" s="1201"/>
      <c r="F122" s="1202"/>
      <c r="G122" s="326"/>
      <c r="H122" s="318"/>
    </row>
    <row r="123" spans="1:8" s="234" customFormat="1" ht="87.75" customHeight="1">
      <c r="A123" s="325"/>
      <c r="B123" s="329" t="s">
        <v>515</v>
      </c>
      <c r="C123" s="1201" t="s">
        <v>1091</v>
      </c>
      <c r="D123" s="1201"/>
      <c r="E123" s="1201"/>
      <c r="F123" s="1202"/>
      <c r="G123" s="326"/>
      <c r="H123" s="318"/>
    </row>
    <row r="124" spans="1:8" s="234" customFormat="1" ht="15" customHeight="1">
      <c r="A124" s="311"/>
      <c r="B124" s="319"/>
      <c r="C124" s="313"/>
      <c r="D124" s="313"/>
      <c r="E124" s="313"/>
      <c r="F124" s="313"/>
      <c r="G124" s="320"/>
      <c r="H124" s="315"/>
    </row>
    <row r="125" spans="1:8" s="234" customFormat="1" ht="15" customHeight="1">
      <c r="A125" s="338"/>
      <c r="H125" s="378"/>
    </row>
    <row r="126" spans="1:8" s="234" customFormat="1" ht="15" customHeight="1">
      <c r="A126" s="252" t="s">
        <v>1092</v>
      </c>
      <c r="B126" s="253"/>
      <c r="C126" s="253"/>
      <c r="D126" s="253"/>
      <c r="E126" s="253"/>
      <c r="F126" s="253"/>
      <c r="G126" s="295"/>
      <c r="H126" s="255"/>
    </row>
    <row r="127" spans="1:8" s="234" customFormat="1" ht="15" customHeight="1">
      <c r="A127" s="358">
        <v>1</v>
      </c>
      <c r="B127" s="359" t="s">
        <v>1093</v>
      </c>
      <c r="C127" s="360"/>
      <c r="D127" s="360"/>
      <c r="E127" s="360"/>
      <c r="F127" s="360"/>
      <c r="G127" s="361"/>
      <c r="H127" s="362"/>
    </row>
    <row r="128" spans="1:8" s="234" customFormat="1" ht="15" customHeight="1">
      <c r="A128" s="316"/>
      <c r="B128" s="1209" t="s">
        <v>1016</v>
      </c>
      <c r="C128" s="303" t="s">
        <v>1094</v>
      </c>
      <c r="D128" s="303"/>
      <c r="E128" s="303"/>
      <c r="F128" s="303"/>
      <c r="G128" s="304" t="s">
        <v>1051</v>
      </c>
      <c r="H128" s="318" t="s">
        <v>1018</v>
      </c>
    </row>
    <row r="129" spans="1:11" s="234" customFormat="1" ht="73.349999999999994" customHeight="1">
      <c r="A129" s="325"/>
      <c r="B129" s="1210"/>
      <c r="C129" s="1203" t="s">
        <v>1095</v>
      </c>
      <c r="D129" s="1203"/>
      <c r="E129" s="1203"/>
      <c r="F129" s="1204"/>
      <c r="G129" s="317"/>
      <c r="H129" s="318"/>
    </row>
    <row r="130" spans="1:11" s="234" customFormat="1" ht="15" customHeight="1">
      <c r="A130" s="316"/>
      <c r="B130" s="329" t="s">
        <v>1020</v>
      </c>
      <c r="C130" s="380" t="s">
        <v>1096</v>
      </c>
      <c r="D130" s="380"/>
      <c r="E130" s="380"/>
      <c r="F130" s="380"/>
      <c r="G130" s="381" t="s">
        <v>1051</v>
      </c>
      <c r="H130" s="374" t="s">
        <v>1018</v>
      </c>
    </row>
    <row r="131" spans="1:11" s="234" customFormat="1" ht="89.1" customHeight="1">
      <c r="A131" s="325"/>
      <c r="B131" s="379"/>
      <c r="C131" s="1215" t="s">
        <v>1097</v>
      </c>
      <c r="D131" s="1215"/>
      <c r="E131" s="1215"/>
      <c r="F131" s="1216"/>
      <c r="G131" s="382"/>
      <c r="H131" s="383"/>
    </row>
    <row r="132" spans="1:11" s="234" customFormat="1" ht="15" customHeight="1">
      <c r="A132" s="311"/>
      <c r="B132" s="370"/>
      <c r="C132" s="371"/>
      <c r="D132" s="371"/>
      <c r="E132" s="371"/>
      <c r="F132" s="371"/>
      <c r="G132" s="372"/>
      <c r="H132" s="373"/>
    </row>
    <row r="133" spans="1:11" s="234" customFormat="1" ht="15" customHeight="1">
      <c r="A133" s="306">
        <v>2</v>
      </c>
      <c r="B133" s="307" t="s">
        <v>1098</v>
      </c>
      <c r="C133" s="303"/>
      <c r="D133" s="303"/>
      <c r="E133" s="303"/>
      <c r="F133" s="303"/>
      <c r="G133" s="304" t="s">
        <v>1079</v>
      </c>
      <c r="H133" s="305" t="s">
        <v>1018</v>
      </c>
    </row>
    <row r="134" spans="1:11" s="234" customFormat="1" ht="15" customHeight="1">
      <c r="A134" s="311"/>
      <c r="B134" s="319"/>
      <c r="C134" s="313"/>
      <c r="D134" s="313"/>
      <c r="E134" s="313"/>
      <c r="F134" s="313"/>
      <c r="G134" s="314"/>
      <c r="H134" s="315"/>
    </row>
    <row r="135" spans="1:11" s="234" customFormat="1" ht="15" customHeight="1">
      <c r="A135" s="306">
        <v>3</v>
      </c>
      <c r="B135" s="307" t="s">
        <v>1099</v>
      </c>
      <c r="C135" s="303"/>
      <c r="D135" s="303"/>
      <c r="E135" s="303"/>
      <c r="F135" s="303"/>
      <c r="G135" s="304" t="s">
        <v>1079</v>
      </c>
      <c r="H135" s="305" t="s">
        <v>1018</v>
      </c>
    </row>
    <row r="136" spans="1:11" s="234" customFormat="1" ht="15" customHeight="1">
      <c r="A136" s="384"/>
      <c r="B136" s="385"/>
      <c r="C136" s="386"/>
      <c r="D136" s="386"/>
      <c r="E136" s="386"/>
      <c r="F136" s="386"/>
      <c r="G136" s="387"/>
      <c r="H136" s="388"/>
    </row>
    <row r="137" spans="1:11" s="234" customFormat="1" ht="15" customHeight="1">
      <c r="G137" s="389"/>
    </row>
    <row r="138" spans="1:11" s="234" customFormat="1" ht="15" customHeight="1">
      <c r="A138" s="1190" t="str">
        <f>pp_lok&amp;", "&amp;TEXT(Input!$F$84,"[$-421]d mmmm yyyy")</f>
        <v>Mataram, 1 Agustus 2023</v>
      </c>
      <c r="B138" s="1190"/>
      <c r="C138" s="1190"/>
      <c r="D138" s="1190"/>
      <c r="E138" s="1190"/>
      <c r="F138" s="1190"/>
      <c r="G138" s="1190"/>
      <c r="H138" s="1190"/>
    </row>
    <row r="139" spans="1:11" s="234" customFormat="1" ht="15" customHeight="1">
      <c r="A139" s="1191" t="str">
        <f>ukpbj</f>
        <v>Badan Pengelolaan Keuangan dan Aset Daerah</v>
      </c>
      <c r="B139" s="1191"/>
      <c r="C139" s="1191"/>
      <c r="D139" s="1191"/>
      <c r="E139" s="1191"/>
      <c r="F139" s="1191"/>
      <c r="G139" s="1191"/>
      <c r="H139" s="1191"/>
      <c r="I139" s="355"/>
      <c r="J139" s="355"/>
      <c r="K139" s="355"/>
    </row>
    <row r="140" spans="1:11" s="234" customFormat="1" ht="15" customHeight="1">
      <c r="A140" s="1191" t="str">
        <f>pokja</f>
        <v>Pejabat Pengadaan</v>
      </c>
      <c r="B140" s="1191"/>
      <c r="C140" s="1191"/>
      <c r="D140" s="1191"/>
      <c r="E140" s="1191"/>
      <c r="F140" s="1191"/>
      <c r="G140" s="1191"/>
      <c r="H140" s="1191"/>
      <c r="I140" s="355"/>
      <c r="J140" s="355"/>
    </row>
    <row r="141" spans="1:11" s="234" customFormat="1" ht="15" customHeight="1">
      <c r="A141" s="356" t="s">
        <v>258</v>
      </c>
      <c r="B141" s="1192" t="s">
        <v>37</v>
      </c>
      <c r="C141" s="1192"/>
      <c r="D141" s="1192"/>
      <c r="E141" s="1192"/>
      <c r="F141" s="356" t="str">
        <f>IF(pokja="Pejabat Pengadaan","","Jabatan")</f>
        <v/>
      </c>
      <c r="G141" s="1192" t="s">
        <v>1066</v>
      </c>
      <c r="H141" s="1192"/>
    </row>
    <row r="142" spans="1:11" s="234" customFormat="1" ht="15" customHeight="1">
      <c r="A142" s="107"/>
      <c r="B142" s="107"/>
      <c r="C142" s="107"/>
      <c r="D142" s="107"/>
      <c r="E142" s="107"/>
      <c r="F142" s="107"/>
      <c r="G142" s="1193"/>
      <c r="H142" s="1193"/>
    </row>
    <row r="143" spans="1:11" s="234" customFormat="1" ht="15" customHeight="1">
      <c r="A143" s="107">
        <v>1</v>
      </c>
      <c r="B143" s="107" t="str">
        <f>_pan1</f>
        <v>Surmayanti Isnaini, S.IP</v>
      </c>
      <c r="C143" s="107"/>
      <c r="D143" s="107"/>
      <c r="E143" s="107"/>
      <c r="F143" s="198" t="str">
        <f>IF(pokja="Pejabat Pengadaan","","Ketua")</f>
        <v/>
      </c>
      <c r="G143" s="1194" t="s">
        <v>1067</v>
      </c>
      <c r="H143" s="1195"/>
    </row>
    <row r="144" spans="1:11" s="234" customFormat="1" ht="15" hidden="1" customHeight="1">
      <c r="A144" s="107">
        <v>2</v>
      </c>
      <c r="B144" s="107">
        <f>_pan2</f>
        <v>0</v>
      </c>
      <c r="C144" s="107"/>
      <c r="D144" s="107"/>
      <c r="E144" s="107"/>
      <c r="F144" s="198" t="s">
        <v>71</v>
      </c>
      <c r="G144" s="1196" t="s">
        <v>422</v>
      </c>
      <c r="H144" s="1197"/>
    </row>
    <row r="145" spans="1:8" s="234" customFormat="1" ht="15" hidden="1" customHeight="1">
      <c r="A145" s="107">
        <v>3</v>
      </c>
      <c r="B145" s="107">
        <f>_pan3</f>
        <v>0</v>
      </c>
      <c r="C145" s="107"/>
      <c r="D145" s="107"/>
      <c r="E145" s="107"/>
      <c r="F145" s="198" t="s">
        <v>74</v>
      </c>
      <c r="G145" s="1194" t="s">
        <v>1068</v>
      </c>
      <c r="H145" s="1195"/>
    </row>
    <row r="146" spans="1:8" s="234" customFormat="1" ht="15" hidden="1" customHeight="1">
      <c r="A146" s="107">
        <v>4</v>
      </c>
      <c r="B146" s="107">
        <f>_pan4</f>
        <v>0</v>
      </c>
      <c r="C146" s="107"/>
      <c r="D146" s="107"/>
      <c r="E146" s="107"/>
      <c r="F146" s="198" t="s">
        <v>74</v>
      </c>
      <c r="G146" s="1196" t="s">
        <v>435</v>
      </c>
      <c r="H146" s="1197"/>
    </row>
    <row r="147" spans="1:8" s="234" customFormat="1" ht="15" hidden="1" customHeight="1">
      <c r="A147" s="107">
        <v>5</v>
      </c>
      <c r="B147" s="107">
        <f>_pan5</f>
        <v>0</v>
      </c>
      <c r="C147" s="107"/>
      <c r="D147" s="107"/>
      <c r="E147" s="107"/>
      <c r="F147" s="198" t="s">
        <v>74</v>
      </c>
      <c r="G147" s="1194" t="s">
        <v>1069</v>
      </c>
      <c r="H147" s="1195"/>
    </row>
    <row r="148" spans="1:8" s="234" customFormat="1" ht="5.25" customHeight="1">
      <c r="A148" s="357"/>
      <c r="B148" s="357"/>
      <c r="C148" s="357"/>
      <c r="D148" s="357"/>
      <c r="E148" s="357"/>
      <c r="F148" s="357"/>
      <c r="G148" s="1198"/>
      <c r="H148" s="1198"/>
    </row>
    <row r="149" spans="1:8" ht="15.75" customHeight="1"/>
    <row r="150" spans="1:8" ht="15.75" customHeight="1"/>
    <row r="151" spans="1:8" ht="15.75" customHeight="1"/>
    <row r="152" spans="1:8" ht="15.75" customHeight="1"/>
    <row r="153" spans="1:8" ht="15.75" customHeight="1"/>
    <row r="154" spans="1:8" ht="15.75" customHeight="1"/>
    <row r="155" spans="1:8" ht="15.75" customHeight="1"/>
    <row r="156" spans="1:8" ht="15.75" customHeight="1"/>
    <row r="157" spans="1:8" ht="15.75" customHeight="1"/>
    <row r="158" spans="1:8" ht="15.75" customHeight="1"/>
    <row r="159" spans="1:8" ht="15.75" customHeight="1"/>
    <row r="160" spans="1:8"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sheetData>
  <mergeCells count="47">
    <mergeCell ref="A4:F5"/>
    <mergeCell ref="G147:H147"/>
    <mergeCell ref="G148:H148"/>
    <mergeCell ref="B128:B129"/>
    <mergeCell ref="A86:F87"/>
    <mergeCell ref="B105:F107"/>
    <mergeCell ref="G142:H142"/>
    <mergeCell ref="G143:H143"/>
    <mergeCell ref="G144:H144"/>
    <mergeCell ref="G145:H145"/>
    <mergeCell ref="G146:H146"/>
    <mergeCell ref="C131:F131"/>
    <mergeCell ref="A138:H138"/>
    <mergeCell ref="A139:H139"/>
    <mergeCell ref="A140:H140"/>
    <mergeCell ref="B141:E141"/>
    <mergeCell ref="G141:H141"/>
    <mergeCell ref="C120:F120"/>
    <mergeCell ref="C121:F121"/>
    <mergeCell ref="C122:F122"/>
    <mergeCell ref="C123:F123"/>
    <mergeCell ref="C129:F129"/>
    <mergeCell ref="G78:H78"/>
    <mergeCell ref="G79:H79"/>
    <mergeCell ref="G80:H80"/>
    <mergeCell ref="G81:H81"/>
    <mergeCell ref="C110:F110"/>
    <mergeCell ref="B74:E74"/>
    <mergeCell ref="G74:H74"/>
    <mergeCell ref="G75:H75"/>
    <mergeCell ref="G76:H76"/>
    <mergeCell ref="G77:H77"/>
    <mergeCell ref="B53:F53"/>
    <mergeCell ref="C68:E68"/>
    <mergeCell ref="A71:H71"/>
    <mergeCell ref="A72:H72"/>
    <mergeCell ref="A73:H73"/>
    <mergeCell ref="B42:F42"/>
    <mergeCell ref="B44:F44"/>
    <mergeCell ref="B46:F46"/>
    <mergeCell ref="B49:F49"/>
    <mergeCell ref="B51:F51"/>
    <mergeCell ref="C23:F23"/>
    <mergeCell ref="C24:F24"/>
    <mergeCell ref="C27:F27"/>
    <mergeCell ref="B39:F39"/>
    <mergeCell ref="B40:F40"/>
  </mergeCells>
  <dataValidations count="1">
    <dataValidation type="list" allowBlank="1" showInputMessage="1" showErrorMessage="1" sqref="H9 H51 H53 H55 H67 H69 H128 H130 H11:H14 H16:H30 H32:H33 H36:H38 H42:H48 H59:H63 H91:H93 H95:H106 H108:H124 H133:H136" xr:uid="{00000000-0002-0000-0B00-000000000000}">
      <formula1>"YA,TIDAK"</formula1>
    </dataValidation>
  </dataValidations>
  <hyperlinks>
    <hyperlink ref="I5" location="Input!A72" display="balik ke input" xr:uid="{00000000-0004-0000-0B00-000000000000}"/>
  </hyperlinks>
  <printOptions horizontalCentered="1"/>
  <pageMargins left="0.511811023622047" right="0.511811023622047" top="0.59055118110236204" bottom="0.23622047244094499" header="0" footer="0"/>
  <pageSetup paperSize="9" scale="91" orientation="portrait" verticalDpi="300" r:id="rId1"/>
  <headerFooter alignWithMargins="0"/>
  <rowBreaks count="3" manualBreakCount="3">
    <brk id="54" max="7" man="1"/>
    <brk id="82" max="7" man="1"/>
    <brk id="125" max="7" man="1"/>
  </rowBreaks>
  <ignoredErrors>
    <ignoredError sqref="G76 G77:H80" numberStoredAsText="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92D050"/>
  </sheetPr>
  <dimension ref="A1:L62"/>
  <sheetViews>
    <sheetView view="pageBreakPreview" topLeftCell="A29" zoomScale="115" zoomScaleNormal="100" zoomScaleSheetLayoutView="115" workbookViewId="0">
      <selection activeCell="D38" sqref="D38:J38"/>
    </sheetView>
  </sheetViews>
  <sheetFormatPr defaultColWidth="9" defaultRowHeight="14.25"/>
  <cols>
    <col min="1" max="1" width="3.6640625" style="18" customWidth="1"/>
    <col min="2" max="2" width="8.19921875" style="18" customWidth="1"/>
    <col min="3" max="3" width="2" style="18" customWidth="1"/>
    <col min="4" max="4" width="20.86328125" style="18" customWidth="1"/>
    <col min="5" max="6" width="5.86328125" style="18" customWidth="1"/>
    <col min="7" max="10" width="12" style="18" customWidth="1"/>
    <col min="11" max="11" width="9" style="18" hidden="1" customWidth="1"/>
    <col min="12" max="257" width="9" style="18"/>
    <col min="258" max="258" width="9.86328125" style="18" customWidth="1"/>
    <col min="259" max="259" width="2" style="18" customWidth="1"/>
    <col min="260" max="260" width="12.53125" style="18" customWidth="1"/>
    <col min="261" max="261" width="1.86328125" style="18" customWidth="1"/>
    <col min="262" max="262" width="2" style="18" customWidth="1"/>
    <col min="263" max="263" width="16" style="18" customWidth="1"/>
    <col min="264" max="264" width="26" style="18" customWidth="1"/>
    <col min="265" max="265" width="9" style="18"/>
    <col min="266" max="266" width="9" style="18" customWidth="1"/>
    <col min="267" max="513" width="9" style="18"/>
    <col min="514" max="514" width="9.86328125" style="18" customWidth="1"/>
    <col min="515" max="515" width="2" style="18" customWidth="1"/>
    <col min="516" max="516" width="12.53125" style="18" customWidth="1"/>
    <col min="517" max="517" width="1.86328125" style="18" customWidth="1"/>
    <col min="518" max="518" width="2" style="18" customWidth="1"/>
    <col min="519" max="519" width="16" style="18" customWidth="1"/>
    <col min="520" max="520" width="26" style="18" customWidth="1"/>
    <col min="521" max="521" width="9" style="18"/>
    <col min="522" max="522" width="9" style="18" customWidth="1"/>
    <col min="523" max="769" width="9" style="18"/>
    <col min="770" max="770" width="9.86328125" style="18" customWidth="1"/>
    <col min="771" max="771" width="2" style="18" customWidth="1"/>
    <col min="772" max="772" width="12.53125" style="18" customWidth="1"/>
    <col min="773" max="773" width="1.86328125" style="18" customWidth="1"/>
    <col min="774" max="774" width="2" style="18" customWidth="1"/>
    <col min="775" max="775" width="16" style="18" customWidth="1"/>
    <col min="776" max="776" width="26" style="18" customWidth="1"/>
    <col min="777" max="777" width="9" style="18"/>
    <col min="778" max="778" width="9" style="18" customWidth="1"/>
    <col min="779" max="1025" width="9" style="18"/>
    <col min="1026" max="1026" width="9.86328125" style="18" customWidth="1"/>
    <col min="1027" max="1027" width="2" style="18" customWidth="1"/>
    <col min="1028" max="1028" width="12.53125" style="18" customWidth="1"/>
    <col min="1029" max="1029" width="1.86328125" style="18" customWidth="1"/>
    <col min="1030" max="1030" width="2" style="18" customWidth="1"/>
    <col min="1031" max="1031" width="16" style="18" customWidth="1"/>
    <col min="1032" max="1032" width="26" style="18" customWidth="1"/>
    <col min="1033" max="1033" width="9" style="18"/>
    <col min="1034" max="1034" width="9" style="18" customWidth="1"/>
    <col min="1035" max="1281" width="9" style="18"/>
    <col min="1282" max="1282" width="9.86328125" style="18" customWidth="1"/>
    <col min="1283" max="1283" width="2" style="18" customWidth="1"/>
    <col min="1284" max="1284" width="12.53125" style="18" customWidth="1"/>
    <col min="1285" max="1285" width="1.86328125" style="18" customWidth="1"/>
    <col min="1286" max="1286" width="2" style="18" customWidth="1"/>
    <col min="1287" max="1287" width="16" style="18" customWidth="1"/>
    <col min="1288" max="1288" width="26" style="18" customWidth="1"/>
    <col min="1289" max="1289" width="9" style="18"/>
    <col min="1290" max="1290" width="9" style="18" customWidth="1"/>
    <col min="1291" max="1537" width="9" style="18"/>
    <col min="1538" max="1538" width="9.86328125" style="18" customWidth="1"/>
    <col min="1539" max="1539" width="2" style="18" customWidth="1"/>
    <col min="1540" max="1540" width="12.53125" style="18" customWidth="1"/>
    <col min="1541" max="1541" width="1.86328125" style="18" customWidth="1"/>
    <col min="1542" max="1542" width="2" style="18" customWidth="1"/>
    <col min="1543" max="1543" width="16" style="18" customWidth="1"/>
    <col min="1544" max="1544" width="26" style="18" customWidth="1"/>
    <col min="1545" max="1545" width="9" style="18"/>
    <col min="1546" max="1546" width="9" style="18" customWidth="1"/>
    <col min="1547" max="1793" width="9" style="18"/>
    <col min="1794" max="1794" width="9.86328125" style="18" customWidth="1"/>
    <col min="1795" max="1795" width="2" style="18" customWidth="1"/>
    <col min="1796" max="1796" width="12.53125" style="18" customWidth="1"/>
    <col min="1797" max="1797" width="1.86328125" style="18" customWidth="1"/>
    <col min="1798" max="1798" width="2" style="18" customWidth="1"/>
    <col min="1799" max="1799" width="16" style="18" customWidth="1"/>
    <col min="1800" max="1800" width="26" style="18" customWidth="1"/>
    <col min="1801" max="1801" width="9" style="18"/>
    <col min="1802" max="1802" width="9" style="18" customWidth="1"/>
    <col min="1803" max="2049" width="9" style="18"/>
    <col min="2050" max="2050" width="9.86328125" style="18" customWidth="1"/>
    <col min="2051" max="2051" width="2" style="18" customWidth="1"/>
    <col min="2052" max="2052" width="12.53125" style="18" customWidth="1"/>
    <col min="2053" max="2053" width="1.86328125" style="18" customWidth="1"/>
    <col min="2054" max="2054" width="2" style="18" customWidth="1"/>
    <col min="2055" max="2055" width="16" style="18" customWidth="1"/>
    <col min="2056" max="2056" width="26" style="18" customWidth="1"/>
    <col min="2057" max="2057" width="9" style="18"/>
    <col min="2058" max="2058" width="9" style="18" customWidth="1"/>
    <col min="2059" max="2305" width="9" style="18"/>
    <col min="2306" max="2306" width="9.86328125" style="18" customWidth="1"/>
    <col min="2307" max="2307" width="2" style="18" customWidth="1"/>
    <col min="2308" max="2308" width="12.53125" style="18" customWidth="1"/>
    <col min="2309" max="2309" width="1.86328125" style="18" customWidth="1"/>
    <col min="2310" max="2310" width="2" style="18" customWidth="1"/>
    <col min="2311" max="2311" width="16" style="18" customWidth="1"/>
    <col min="2312" max="2312" width="26" style="18" customWidth="1"/>
    <col min="2313" max="2313" width="9" style="18"/>
    <col min="2314" max="2314" width="9" style="18" customWidth="1"/>
    <col min="2315" max="2561" width="9" style="18"/>
    <col min="2562" max="2562" width="9.86328125" style="18" customWidth="1"/>
    <col min="2563" max="2563" width="2" style="18" customWidth="1"/>
    <col min="2564" max="2564" width="12.53125" style="18" customWidth="1"/>
    <col min="2565" max="2565" width="1.86328125" style="18" customWidth="1"/>
    <col min="2566" max="2566" width="2" style="18" customWidth="1"/>
    <col min="2567" max="2567" width="16" style="18" customWidth="1"/>
    <col min="2568" max="2568" width="26" style="18" customWidth="1"/>
    <col min="2569" max="2569" width="9" style="18"/>
    <col min="2570" max="2570" width="9" style="18" customWidth="1"/>
    <col min="2571" max="2817" width="9" style="18"/>
    <col min="2818" max="2818" width="9.86328125" style="18" customWidth="1"/>
    <col min="2819" max="2819" width="2" style="18" customWidth="1"/>
    <col min="2820" max="2820" width="12.53125" style="18" customWidth="1"/>
    <col min="2821" max="2821" width="1.86328125" style="18" customWidth="1"/>
    <col min="2822" max="2822" width="2" style="18" customWidth="1"/>
    <col min="2823" max="2823" width="16" style="18" customWidth="1"/>
    <col min="2824" max="2824" width="26" style="18" customWidth="1"/>
    <col min="2825" max="2825" width="9" style="18"/>
    <col min="2826" max="2826" width="9" style="18" customWidth="1"/>
    <col min="2827" max="3073" width="9" style="18"/>
    <col min="3074" max="3074" width="9.86328125" style="18" customWidth="1"/>
    <col min="3075" max="3075" width="2" style="18" customWidth="1"/>
    <col min="3076" max="3076" width="12.53125" style="18" customWidth="1"/>
    <col min="3077" max="3077" width="1.86328125" style="18" customWidth="1"/>
    <col min="3078" max="3078" width="2" style="18" customWidth="1"/>
    <col min="3079" max="3079" width="16" style="18" customWidth="1"/>
    <col min="3080" max="3080" width="26" style="18" customWidth="1"/>
    <col min="3081" max="3081" width="9" style="18"/>
    <col min="3082" max="3082" width="9" style="18" customWidth="1"/>
    <col min="3083" max="3329" width="9" style="18"/>
    <col min="3330" max="3330" width="9.86328125" style="18" customWidth="1"/>
    <col min="3331" max="3331" width="2" style="18" customWidth="1"/>
    <col min="3332" max="3332" width="12.53125" style="18" customWidth="1"/>
    <col min="3333" max="3333" width="1.86328125" style="18" customWidth="1"/>
    <col min="3334" max="3334" width="2" style="18" customWidth="1"/>
    <col min="3335" max="3335" width="16" style="18" customWidth="1"/>
    <col min="3336" max="3336" width="26" style="18" customWidth="1"/>
    <col min="3337" max="3337" width="9" style="18"/>
    <col min="3338" max="3338" width="9" style="18" customWidth="1"/>
    <col min="3339" max="3585" width="9" style="18"/>
    <col min="3586" max="3586" width="9.86328125" style="18" customWidth="1"/>
    <col min="3587" max="3587" width="2" style="18" customWidth="1"/>
    <col min="3588" max="3588" width="12.53125" style="18" customWidth="1"/>
    <col min="3589" max="3589" width="1.86328125" style="18" customWidth="1"/>
    <col min="3590" max="3590" width="2" style="18" customWidth="1"/>
    <col min="3591" max="3591" width="16" style="18" customWidth="1"/>
    <col min="3592" max="3592" width="26" style="18" customWidth="1"/>
    <col min="3593" max="3593" width="9" style="18"/>
    <col min="3594" max="3594" width="9" style="18" customWidth="1"/>
    <col min="3595" max="3841" width="9" style="18"/>
    <col min="3842" max="3842" width="9.86328125" style="18" customWidth="1"/>
    <col min="3843" max="3843" width="2" style="18" customWidth="1"/>
    <col min="3844" max="3844" width="12.53125" style="18" customWidth="1"/>
    <col min="3845" max="3845" width="1.86328125" style="18" customWidth="1"/>
    <col min="3846" max="3846" width="2" style="18" customWidth="1"/>
    <col min="3847" max="3847" width="16" style="18" customWidth="1"/>
    <col min="3848" max="3848" width="26" style="18" customWidth="1"/>
    <col min="3849" max="3849" width="9" style="18"/>
    <col min="3850" max="3850" width="9" style="18" customWidth="1"/>
    <col min="3851" max="4097" width="9" style="18"/>
    <col min="4098" max="4098" width="9.86328125" style="18" customWidth="1"/>
    <col min="4099" max="4099" width="2" style="18" customWidth="1"/>
    <col min="4100" max="4100" width="12.53125" style="18" customWidth="1"/>
    <col min="4101" max="4101" width="1.86328125" style="18" customWidth="1"/>
    <col min="4102" max="4102" width="2" style="18" customWidth="1"/>
    <col min="4103" max="4103" width="16" style="18" customWidth="1"/>
    <col min="4104" max="4104" width="26" style="18" customWidth="1"/>
    <col min="4105" max="4105" width="9" style="18"/>
    <col min="4106" max="4106" width="9" style="18" customWidth="1"/>
    <col min="4107" max="4353" width="9" style="18"/>
    <col min="4354" max="4354" width="9.86328125" style="18" customWidth="1"/>
    <col min="4355" max="4355" width="2" style="18" customWidth="1"/>
    <col min="4356" max="4356" width="12.53125" style="18" customWidth="1"/>
    <col min="4357" max="4357" width="1.86328125" style="18" customWidth="1"/>
    <col min="4358" max="4358" width="2" style="18" customWidth="1"/>
    <col min="4359" max="4359" width="16" style="18" customWidth="1"/>
    <col min="4360" max="4360" width="26" style="18" customWidth="1"/>
    <col min="4361" max="4361" width="9" style="18"/>
    <col min="4362" max="4362" width="9" style="18" customWidth="1"/>
    <col min="4363" max="4609" width="9" style="18"/>
    <col min="4610" max="4610" width="9.86328125" style="18" customWidth="1"/>
    <col min="4611" max="4611" width="2" style="18" customWidth="1"/>
    <col min="4612" max="4612" width="12.53125" style="18" customWidth="1"/>
    <col min="4613" max="4613" width="1.86328125" style="18" customWidth="1"/>
    <col min="4614" max="4614" width="2" style="18" customWidth="1"/>
    <col min="4615" max="4615" width="16" style="18" customWidth="1"/>
    <col min="4616" max="4616" width="26" style="18" customWidth="1"/>
    <col min="4617" max="4617" width="9" style="18"/>
    <col min="4618" max="4618" width="9" style="18" customWidth="1"/>
    <col min="4619" max="4865" width="9" style="18"/>
    <col min="4866" max="4866" width="9.86328125" style="18" customWidth="1"/>
    <col min="4867" max="4867" width="2" style="18" customWidth="1"/>
    <col min="4868" max="4868" width="12.53125" style="18" customWidth="1"/>
    <col min="4869" max="4869" width="1.86328125" style="18" customWidth="1"/>
    <col min="4870" max="4870" width="2" style="18" customWidth="1"/>
    <col min="4871" max="4871" width="16" style="18" customWidth="1"/>
    <col min="4872" max="4872" width="26" style="18" customWidth="1"/>
    <col min="4873" max="4873" width="9" style="18"/>
    <col min="4874" max="4874" width="9" style="18" customWidth="1"/>
    <col min="4875" max="5121" width="9" style="18"/>
    <col min="5122" max="5122" width="9.86328125" style="18" customWidth="1"/>
    <col min="5123" max="5123" width="2" style="18" customWidth="1"/>
    <col min="5124" max="5124" width="12.53125" style="18" customWidth="1"/>
    <col min="5125" max="5125" width="1.86328125" style="18" customWidth="1"/>
    <col min="5126" max="5126" width="2" style="18" customWidth="1"/>
    <col min="5127" max="5127" width="16" style="18" customWidth="1"/>
    <col min="5128" max="5128" width="26" style="18" customWidth="1"/>
    <col min="5129" max="5129" width="9" style="18"/>
    <col min="5130" max="5130" width="9" style="18" customWidth="1"/>
    <col min="5131" max="5377" width="9" style="18"/>
    <col min="5378" max="5378" width="9.86328125" style="18" customWidth="1"/>
    <col min="5379" max="5379" width="2" style="18" customWidth="1"/>
    <col min="5380" max="5380" width="12.53125" style="18" customWidth="1"/>
    <col min="5381" max="5381" width="1.86328125" style="18" customWidth="1"/>
    <col min="5382" max="5382" width="2" style="18" customWidth="1"/>
    <col min="5383" max="5383" width="16" style="18" customWidth="1"/>
    <col min="5384" max="5384" width="26" style="18" customWidth="1"/>
    <col min="5385" max="5385" width="9" style="18"/>
    <col min="5386" max="5386" width="9" style="18" customWidth="1"/>
    <col min="5387" max="5633" width="9" style="18"/>
    <col min="5634" max="5634" width="9.86328125" style="18" customWidth="1"/>
    <col min="5635" max="5635" width="2" style="18" customWidth="1"/>
    <col min="5636" max="5636" width="12.53125" style="18" customWidth="1"/>
    <col min="5637" max="5637" width="1.86328125" style="18" customWidth="1"/>
    <col min="5638" max="5638" width="2" style="18" customWidth="1"/>
    <col min="5639" max="5639" width="16" style="18" customWidth="1"/>
    <col min="5640" max="5640" width="26" style="18" customWidth="1"/>
    <col min="5641" max="5641" width="9" style="18"/>
    <col min="5642" max="5642" width="9" style="18" customWidth="1"/>
    <col min="5643" max="5889" width="9" style="18"/>
    <col min="5890" max="5890" width="9.86328125" style="18" customWidth="1"/>
    <col min="5891" max="5891" width="2" style="18" customWidth="1"/>
    <col min="5892" max="5892" width="12.53125" style="18" customWidth="1"/>
    <col min="5893" max="5893" width="1.86328125" style="18" customWidth="1"/>
    <col min="5894" max="5894" width="2" style="18" customWidth="1"/>
    <col min="5895" max="5895" width="16" style="18" customWidth="1"/>
    <col min="5896" max="5896" width="26" style="18" customWidth="1"/>
    <col min="5897" max="5897" width="9" style="18"/>
    <col min="5898" max="5898" width="9" style="18" customWidth="1"/>
    <col min="5899" max="6145" width="9" style="18"/>
    <col min="6146" max="6146" width="9.86328125" style="18" customWidth="1"/>
    <col min="6147" max="6147" width="2" style="18" customWidth="1"/>
    <col min="6148" max="6148" width="12.53125" style="18" customWidth="1"/>
    <col min="6149" max="6149" width="1.86328125" style="18" customWidth="1"/>
    <col min="6150" max="6150" width="2" style="18" customWidth="1"/>
    <col min="6151" max="6151" width="16" style="18" customWidth="1"/>
    <col min="6152" max="6152" width="26" style="18" customWidth="1"/>
    <col min="6153" max="6153" width="9" style="18"/>
    <col min="6154" max="6154" width="9" style="18" customWidth="1"/>
    <col min="6155" max="6401" width="9" style="18"/>
    <col min="6402" max="6402" width="9.86328125" style="18" customWidth="1"/>
    <col min="6403" max="6403" width="2" style="18" customWidth="1"/>
    <col min="6404" max="6404" width="12.53125" style="18" customWidth="1"/>
    <col min="6405" max="6405" width="1.86328125" style="18" customWidth="1"/>
    <col min="6406" max="6406" width="2" style="18" customWidth="1"/>
    <col min="6407" max="6407" width="16" style="18" customWidth="1"/>
    <col min="6408" max="6408" width="26" style="18" customWidth="1"/>
    <col min="6409" max="6409" width="9" style="18"/>
    <col min="6410" max="6410" width="9" style="18" customWidth="1"/>
    <col min="6411" max="6657" width="9" style="18"/>
    <col min="6658" max="6658" width="9.86328125" style="18" customWidth="1"/>
    <col min="6659" max="6659" width="2" style="18" customWidth="1"/>
    <col min="6660" max="6660" width="12.53125" style="18" customWidth="1"/>
    <col min="6661" max="6661" width="1.86328125" style="18" customWidth="1"/>
    <col min="6662" max="6662" width="2" style="18" customWidth="1"/>
    <col min="6663" max="6663" width="16" style="18" customWidth="1"/>
    <col min="6664" max="6664" width="26" style="18" customWidth="1"/>
    <col min="6665" max="6665" width="9" style="18"/>
    <col min="6666" max="6666" width="9" style="18" customWidth="1"/>
    <col min="6667" max="6913" width="9" style="18"/>
    <col min="6914" max="6914" width="9.86328125" style="18" customWidth="1"/>
    <col min="6915" max="6915" width="2" style="18" customWidth="1"/>
    <col min="6916" max="6916" width="12.53125" style="18" customWidth="1"/>
    <col min="6917" max="6917" width="1.86328125" style="18" customWidth="1"/>
    <col min="6918" max="6918" width="2" style="18" customWidth="1"/>
    <col min="6919" max="6919" width="16" style="18" customWidth="1"/>
    <col min="6920" max="6920" width="26" style="18" customWidth="1"/>
    <col min="6921" max="6921" width="9" style="18"/>
    <col min="6922" max="6922" width="9" style="18" customWidth="1"/>
    <col min="6923" max="7169" width="9" style="18"/>
    <col min="7170" max="7170" width="9.86328125" style="18" customWidth="1"/>
    <col min="7171" max="7171" width="2" style="18" customWidth="1"/>
    <col min="7172" max="7172" width="12.53125" style="18" customWidth="1"/>
    <col min="7173" max="7173" width="1.86328125" style="18" customWidth="1"/>
    <col min="7174" max="7174" width="2" style="18" customWidth="1"/>
    <col min="7175" max="7175" width="16" style="18" customWidth="1"/>
    <col min="7176" max="7176" width="26" style="18" customWidth="1"/>
    <col min="7177" max="7177" width="9" style="18"/>
    <col min="7178" max="7178" width="9" style="18" customWidth="1"/>
    <col min="7179" max="7425" width="9" style="18"/>
    <col min="7426" max="7426" width="9.86328125" style="18" customWidth="1"/>
    <col min="7427" max="7427" width="2" style="18" customWidth="1"/>
    <col min="7428" max="7428" width="12.53125" style="18" customWidth="1"/>
    <col min="7429" max="7429" width="1.86328125" style="18" customWidth="1"/>
    <col min="7430" max="7430" width="2" style="18" customWidth="1"/>
    <col min="7431" max="7431" width="16" style="18" customWidth="1"/>
    <col min="7432" max="7432" width="26" style="18" customWidth="1"/>
    <col min="7433" max="7433" width="9" style="18"/>
    <col min="7434" max="7434" width="9" style="18" customWidth="1"/>
    <col min="7435" max="7681" width="9" style="18"/>
    <col min="7682" max="7682" width="9.86328125" style="18" customWidth="1"/>
    <col min="7683" max="7683" width="2" style="18" customWidth="1"/>
    <col min="7684" max="7684" width="12.53125" style="18" customWidth="1"/>
    <col min="7685" max="7685" width="1.86328125" style="18" customWidth="1"/>
    <col min="7686" max="7686" width="2" style="18" customWidth="1"/>
    <col min="7687" max="7687" width="16" style="18" customWidth="1"/>
    <col min="7688" max="7688" width="26" style="18" customWidth="1"/>
    <col min="7689" max="7689" width="9" style="18"/>
    <col min="7690" max="7690" width="9" style="18" customWidth="1"/>
    <col min="7691" max="7937" width="9" style="18"/>
    <col min="7938" max="7938" width="9.86328125" style="18" customWidth="1"/>
    <col min="7939" max="7939" width="2" style="18" customWidth="1"/>
    <col min="7940" max="7940" width="12.53125" style="18" customWidth="1"/>
    <col min="7941" max="7941" width="1.86328125" style="18" customWidth="1"/>
    <col min="7942" max="7942" width="2" style="18" customWidth="1"/>
    <col min="7943" max="7943" width="16" style="18" customWidth="1"/>
    <col min="7944" max="7944" width="26" style="18" customWidth="1"/>
    <col min="7945" max="7945" width="9" style="18"/>
    <col min="7946" max="7946" width="9" style="18" customWidth="1"/>
    <col min="7947" max="8193" width="9" style="18"/>
    <col min="8194" max="8194" width="9.86328125" style="18" customWidth="1"/>
    <col min="8195" max="8195" width="2" style="18" customWidth="1"/>
    <col min="8196" max="8196" width="12.53125" style="18" customWidth="1"/>
    <col min="8197" max="8197" width="1.86328125" style="18" customWidth="1"/>
    <col min="8198" max="8198" width="2" style="18" customWidth="1"/>
    <col min="8199" max="8199" width="16" style="18" customWidth="1"/>
    <col min="8200" max="8200" width="26" style="18" customWidth="1"/>
    <col min="8201" max="8201" width="9" style="18"/>
    <col min="8202" max="8202" width="9" style="18" customWidth="1"/>
    <col min="8203" max="8449" width="9" style="18"/>
    <col min="8450" max="8450" width="9.86328125" style="18" customWidth="1"/>
    <col min="8451" max="8451" width="2" style="18" customWidth="1"/>
    <col min="8452" max="8452" width="12.53125" style="18" customWidth="1"/>
    <col min="8453" max="8453" width="1.86328125" style="18" customWidth="1"/>
    <col min="8454" max="8454" width="2" style="18" customWidth="1"/>
    <col min="8455" max="8455" width="16" style="18" customWidth="1"/>
    <col min="8456" max="8456" width="26" style="18" customWidth="1"/>
    <col min="8457" max="8457" width="9" style="18"/>
    <col min="8458" max="8458" width="9" style="18" customWidth="1"/>
    <col min="8459" max="8705" width="9" style="18"/>
    <col min="8706" max="8706" width="9.86328125" style="18" customWidth="1"/>
    <col min="8707" max="8707" width="2" style="18" customWidth="1"/>
    <col min="8708" max="8708" width="12.53125" style="18" customWidth="1"/>
    <col min="8709" max="8709" width="1.86328125" style="18" customWidth="1"/>
    <col min="8710" max="8710" width="2" style="18" customWidth="1"/>
    <col min="8711" max="8711" width="16" style="18" customWidth="1"/>
    <col min="8712" max="8712" width="26" style="18" customWidth="1"/>
    <col min="8713" max="8713" width="9" style="18"/>
    <col min="8714" max="8714" width="9" style="18" customWidth="1"/>
    <col min="8715" max="8961" width="9" style="18"/>
    <col min="8962" max="8962" width="9.86328125" style="18" customWidth="1"/>
    <col min="8963" max="8963" width="2" style="18" customWidth="1"/>
    <col min="8964" max="8964" width="12.53125" style="18" customWidth="1"/>
    <col min="8965" max="8965" width="1.86328125" style="18" customWidth="1"/>
    <col min="8966" max="8966" width="2" style="18" customWidth="1"/>
    <col min="8967" max="8967" width="16" style="18" customWidth="1"/>
    <col min="8968" max="8968" width="26" style="18" customWidth="1"/>
    <col min="8969" max="8969" width="9" style="18"/>
    <col min="8970" max="8970" width="9" style="18" customWidth="1"/>
    <col min="8971" max="9217" width="9" style="18"/>
    <col min="9218" max="9218" width="9.86328125" style="18" customWidth="1"/>
    <col min="9219" max="9219" width="2" style="18" customWidth="1"/>
    <col min="9220" max="9220" width="12.53125" style="18" customWidth="1"/>
    <col min="9221" max="9221" width="1.86328125" style="18" customWidth="1"/>
    <col min="9222" max="9222" width="2" style="18" customWidth="1"/>
    <col min="9223" max="9223" width="16" style="18" customWidth="1"/>
    <col min="9224" max="9224" width="26" style="18" customWidth="1"/>
    <col min="9225" max="9225" width="9" style="18"/>
    <col min="9226" max="9226" width="9" style="18" customWidth="1"/>
    <col min="9227" max="9473" width="9" style="18"/>
    <col min="9474" max="9474" width="9.86328125" style="18" customWidth="1"/>
    <col min="9475" max="9475" width="2" style="18" customWidth="1"/>
    <col min="9476" max="9476" width="12.53125" style="18" customWidth="1"/>
    <col min="9477" max="9477" width="1.86328125" style="18" customWidth="1"/>
    <col min="9478" max="9478" width="2" style="18" customWidth="1"/>
    <col min="9479" max="9479" width="16" style="18" customWidth="1"/>
    <col min="9480" max="9480" width="26" style="18" customWidth="1"/>
    <col min="9481" max="9481" width="9" style="18"/>
    <col min="9482" max="9482" width="9" style="18" customWidth="1"/>
    <col min="9483" max="9729" width="9" style="18"/>
    <col min="9730" max="9730" width="9.86328125" style="18" customWidth="1"/>
    <col min="9731" max="9731" width="2" style="18" customWidth="1"/>
    <col min="9732" max="9732" width="12.53125" style="18" customWidth="1"/>
    <col min="9733" max="9733" width="1.86328125" style="18" customWidth="1"/>
    <col min="9734" max="9734" width="2" style="18" customWidth="1"/>
    <col min="9735" max="9735" width="16" style="18" customWidth="1"/>
    <col min="9736" max="9736" width="26" style="18" customWidth="1"/>
    <col min="9737" max="9737" width="9" style="18"/>
    <col min="9738" max="9738" width="9" style="18" customWidth="1"/>
    <col min="9739" max="9985" width="9" style="18"/>
    <col min="9986" max="9986" width="9.86328125" style="18" customWidth="1"/>
    <col min="9987" max="9987" width="2" style="18" customWidth="1"/>
    <col min="9988" max="9988" width="12.53125" style="18" customWidth="1"/>
    <col min="9989" max="9989" width="1.86328125" style="18" customWidth="1"/>
    <col min="9990" max="9990" width="2" style="18" customWidth="1"/>
    <col min="9991" max="9991" width="16" style="18" customWidth="1"/>
    <col min="9992" max="9992" width="26" style="18" customWidth="1"/>
    <col min="9993" max="9993" width="9" style="18"/>
    <col min="9994" max="9994" width="9" style="18" customWidth="1"/>
    <col min="9995" max="10241" width="9" style="18"/>
    <col min="10242" max="10242" width="9.86328125" style="18" customWidth="1"/>
    <col min="10243" max="10243" width="2" style="18" customWidth="1"/>
    <col min="10244" max="10244" width="12.53125" style="18" customWidth="1"/>
    <col min="10245" max="10245" width="1.86328125" style="18" customWidth="1"/>
    <col min="10246" max="10246" width="2" style="18" customWidth="1"/>
    <col min="10247" max="10247" width="16" style="18" customWidth="1"/>
    <col min="10248" max="10248" width="26" style="18" customWidth="1"/>
    <col min="10249" max="10249" width="9" style="18"/>
    <col min="10250" max="10250" width="9" style="18" customWidth="1"/>
    <col min="10251" max="10497" width="9" style="18"/>
    <col min="10498" max="10498" width="9.86328125" style="18" customWidth="1"/>
    <col min="10499" max="10499" width="2" style="18" customWidth="1"/>
    <col min="10500" max="10500" width="12.53125" style="18" customWidth="1"/>
    <col min="10501" max="10501" width="1.86328125" style="18" customWidth="1"/>
    <col min="10502" max="10502" width="2" style="18" customWidth="1"/>
    <col min="10503" max="10503" width="16" style="18" customWidth="1"/>
    <col min="10504" max="10504" width="26" style="18" customWidth="1"/>
    <col min="10505" max="10505" width="9" style="18"/>
    <col min="10506" max="10506" width="9" style="18" customWidth="1"/>
    <col min="10507" max="10753" width="9" style="18"/>
    <col min="10754" max="10754" width="9.86328125" style="18" customWidth="1"/>
    <col min="10755" max="10755" width="2" style="18" customWidth="1"/>
    <col min="10756" max="10756" width="12.53125" style="18" customWidth="1"/>
    <col min="10757" max="10757" width="1.86328125" style="18" customWidth="1"/>
    <col min="10758" max="10758" width="2" style="18" customWidth="1"/>
    <col min="10759" max="10759" width="16" style="18" customWidth="1"/>
    <col min="10760" max="10760" width="26" style="18" customWidth="1"/>
    <col min="10761" max="10761" width="9" style="18"/>
    <col min="10762" max="10762" width="9" style="18" customWidth="1"/>
    <col min="10763" max="11009" width="9" style="18"/>
    <col min="11010" max="11010" width="9.86328125" style="18" customWidth="1"/>
    <col min="11011" max="11011" width="2" style="18" customWidth="1"/>
    <col min="11012" max="11012" width="12.53125" style="18" customWidth="1"/>
    <col min="11013" max="11013" width="1.86328125" style="18" customWidth="1"/>
    <col min="11014" max="11014" width="2" style="18" customWidth="1"/>
    <col min="11015" max="11015" width="16" style="18" customWidth="1"/>
    <col min="11016" max="11016" width="26" style="18" customWidth="1"/>
    <col min="11017" max="11017" width="9" style="18"/>
    <col min="11018" max="11018" width="9" style="18" customWidth="1"/>
    <col min="11019" max="11265" width="9" style="18"/>
    <col min="11266" max="11266" width="9.86328125" style="18" customWidth="1"/>
    <col min="11267" max="11267" width="2" style="18" customWidth="1"/>
    <col min="11268" max="11268" width="12.53125" style="18" customWidth="1"/>
    <col min="11269" max="11269" width="1.86328125" style="18" customWidth="1"/>
    <col min="11270" max="11270" width="2" style="18" customWidth="1"/>
    <col min="11271" max="11271" width="16" style="18" customWidth="1"/>
    <col min="11272" max="11272" width="26" style="18" customWidth="1"/>
    <col min="11273" max="11273" width="9" style="18"/>
    <col min="11274" max="11274" width="9" style="18" customWidth="1"/>
    <col min="11275" max="11521" width="9" style="18"/>
    <col min="11522" max="11522" width="9.86328125" style="18" customWidth="1"/>
    <col min="11523" max="11523" width="2" style="18" customWidth="1"/>
    <col min="11524" max="11524" width="12.53125" style="18" customWidth="1"/>
    <col min="11525" max="11525" width="1.86328125" style="18" customWidth="1"/>
    <col min="11526" max="11526" width="2" style="18" customWidth="1"/>
    <col min="11527" max="11527" width="16" style="18" customWidth="1"/>
    <col min="11528" max="11528" width="26" style="18" customWidth="1"/>
    <col min="11529" max="11529" width="9" style="18"/>
    <col min="11530" max="11530" width="9" style="18" customWidth="1"/>
    <col min="11531" max="11777" width="9" style="18"/>
    <col min="11778" max="11778" width="9.86328125" style="18" customWidth="1"/>
    <col min="11779" max="11779" width="2" style="18" customWidth="1"/>
    <col min="11780" max="11780" width="12.53125" style="18" customWidth="1"/>
    <col min="11781" max="11781" width="1.86328125" style="18" customWidth="1"/>
    <col min="11782" max="11782" width="2" style="18" customWidth="1"/>
    <col min="11783" max="11783" width="16" style="18" customWidth="1"/>
    <col min="11784" max="11784" width="26" style="18" customWidth="1"/>
    <col min="11785" max="11785" width="9" style="18"/>
    <col min="11786" max="11786" width="9" style="18" customWidth="1"/>
    <col min="11787" max="12033" width="9" style="18"/>
    <col min="12034" max="12034" width="9.86328125" style="18" customWidth="1"/>
    <col min="12035" max="12035" width="2" style="18" customWidth="1"/>
    <col min="12036" max="12036" width="12.53125" style="18" customWidth="1"/>
    <col min="12037" max="12037" width="1.86328125" style="18" customWidth="1"/>
    <col min="12038" max="12038" width="2" style="18" customWidth="1"/>
    <col min="12039" max="12039" width="16" style="18" customWidth="1"/>
    <col min="12040" max="12040" width="26" style="18" customWidth="1"/>
    <col min="12041" max="12041" width="9" style="18"/>
    <col min="12042" max="12042" width="9" style="18" customWidth="1"/>
    <col min="12043" max="12289" width="9" style="18"/>
    <col min="12290" max="12290" width="9.86328125" style="18" customWidth="1"/>
    <col min="12291" max="12291" width="2" style="18" customWidth="1"/>
    <col min="12292" max="12292" width="12.53125" style="18" customWidth="1"/>
    <col min="12293" max="12293" width="1.86328125" style="18" customWidth="1"/>
    <col min="12294" max="12294" width="2" style="18" customWidth="1"/>
    <col min="12295" max="12295" width="16" style="18" customWidth="1"/>
    <col min="12296" max="12296" width="26" style="18" customWidth="1"/>
    <col min="12297" max="12297" width="9" style="18"/>
    <col min="12298" max="12298" width="9" style="18" customWidth="1"/>
    <col min="12299" max="12545" width="9" style="18"/>
    <col min="12546" max="12546" width="9.86328125" style="18" customWidth="1"/>
    <col min="12547" max="12547" width="2" style="18" customWidth="1"/>
    <col min="12548" max="12548" width="12.53125" style="18" customWidth="1"/>
    <col min="12549" max="12549" width="1.86328125" style="18" customWidth="1"/>
    <col min="12550" max="12550" width="2" style="18" customWidth="1"/>
    <col min="12551" max="12551" width="16" style="18" customWidth="1"/>
    <col min="12552" max="12552" width="26" style="18" customWidth="1"/>
    <col min="12553" max="12553" width="9" style="18"/>
    <col min="12554" max="12554" width="9" style="18" customWidth="1"/>
    <col min="12555" max="12801" width="9" style="18"/>
    <col min="12802" max="12802" width="9.86328125" style="18" customWidth="1"/>
    <col min="12803" max="12803" width="2" style="18" customWidth="1"/>
    <col min="12804" max="12804" width="12.53125" style="18" customWidth="1"/>
    <col min="12805" max="12805" width="1.86328125" style="18" customWidth="1"/>
    <col min="12806" max="12806" width="2" style="18" customWidth="1"/>
    <col min="12807" max="12807" width="16" style="18" customWidth="1"/>
    <col min="12808" max="12808" width="26" style="18" customWidth="1"/>
    <col min="12809" max="12809" width="9" style="18"/>
    <col min="12810" max="12810" width="9" style="18" customWidth="1"/>
    <col min="12811" max="13057" width="9" style="18"/>
    <col min="13058" max="13058" width="9.86328125" style="18" customWidth="1"/>
    <col min="13059" max="13059" width="2" style="18" customWidth="1"/>
    <col min="13060" max="13060" width="12.53125" style="18" customWidth="1"/>
    <col min="13061" max="13061" width="1.86328125" style="18" customWidth="1"/>
    <col min="13062" max="13062" width="2" style="18" customWidth="1"/>
    <col min="13063" max="13063" width="16" style="18" customWidth="1"/>
    <col min="13064" max="13064" width="26" style="18" customWidth="1"/>
    <col min="13065" max="13065" width="9" style="18"/>
    <col min="13066" max="13066" width="9" style="18" customWidth="1"/>
    <col min="13067" max="13313" width="9" style="18"/>
    <col min="13314" max="13314" width="9.86328125" style="18" customWidth="1"/>
    <col min="13315" max="13315" width="2" style="18" customWidth="1"/>
    <col min="13316" max="13316" width="12.53125" style="18" customWidth="1"/>
    <col min="13317" max="13317" width="1.86328125" style="18" customWidth="1"/>
    <col min="13318" max="13318" width="2" style="18" customWidth="1"/>
    <col min="13319" max="13319" width="16" style="18" customWidth="1"/>
    <col min="13320" max="13320" width="26" style="18" customWidth="1"/>
    <col min="13321" max="13321" width="9" style="18"/>
    <col min="13322" max="13322" width="9" style="18" customWidth="1"/>
    <col min="13323" max="13569" width="9" style="18"/>
    <col min="13570" max="13570" width="9.86328125" style="18" customWidth="1"/>
    <col min="13571" max="13571" width="2" style="18" customWidth="1"/>
    <col min="13572" max="13572" width="12.53125" style="18" customWidth="1"/>
    <col min="13573" max="13573" width="1.86328125" style="18" customWidth="1"/>
    <col min="13574" max="13574" width="2" style="18" customWidth="1"/>
    <col min="13575" max="13575" width="16" style="18" customWidth="1"/>
    <col min="13576" max="13576" width="26" style="18" customWidth="1"/>
    <col min="13577" max="13577" width="9" style="18"/>
    <col min="13578" max="13578" width="9" style="18" customWidth="1"/>
    <col min="13579" max="13825" width="9" style="18"/>
    <col min="13826" max="13826" width="9.86328125" style="18" customWidth="1"/>
    <col min="13827" max="13827" width="2" style="18" customWidth="1"/>
    <col min="13828" max="13828" width="12.53125" style="18" customWidth="1"/>
    <col min="13829" max="13829" width="1.86328125" style="18" customWidth="1"/>
    <col min="13830" max="13830" width="2" style="18" customWidth="1"/>
    <col min="13831" max="13831" width="16" style="18" customWidth="1"/>
    <col min="13832" max="13832" width="26" style="18" customWidth="1"/>
    <col min="13833" max="13833" width="9" style="18"/>
    <col min="13834" max="13834" width="9" style="18" customWidth="1"/>
    <col min="13835" max="14081" width="9" style="18"/>
    <col min="14082" max="14082" width="9.86328125" style="18" customWidth="1"/>
    <col min="14083" max="14083" width="2" style="18" customWidth="1"/>
    <col min="14084" max="14084" width="12.53125" style="18" customWidth="1"/>
    <col min="14085" max="14085" width="1.86328125" style="18" customWidth="1"/>
    <col min="14086" max="14086" width="2" style="18" customWidth="1"/>
    <col min="14087" max="14087" width="16" style="18" customWidth="1"/>
    <col min="14088" max="14088" width="26" style="18" customWidth="1"/>
    <col min="14089" max="14089" width="9" style="18"/>
    <col min="14090" max="14090" width="9" style="18" customWidth="1"/>
    <col min="14091" max="14337" width="9" style="18"/>
    <col min="14338" max="14338" width="9.86328125" style="18" customWidth="1"/>
    <col min="14339" max="14339" width="2" style="18" customWidth="1"/>
    <col min="14340" max="14340" width="12.53125" style="18" customWidth="1"/>
    <col min="14341" max="14341" width="1.86328125" style="18" customWidth="1"/>
    <col min="14342" max="14342" width="2" style="18" customWidth="1"/>
    <col min="14343" max="14343" width="16" style="18" customWidth="1"/>
    <col min="14344" max="14344" width="26" style="18" customWidth="1"/>
    <col min="14345" max="14345" width="9" style="18"/>
    <col min="14346" max="14346" width="9" style="18" customWidth="1"/>
    <col min="14347" max="14593" width="9" style="18"/>
    <col min="14594" max="14594" width="9.86328125" style="18" customWidth="1"/>
    <col min="14595" max="14595" width="2" style="18" customWidth="1"/>
    <col min="14596" max="14596" width="12.53125" style="18" customWidth="1"/>
    <col min="14597" max="14597" width="1.86328125" style="18" customWidth="1"/>
    <col min="14598" max="14598" width="2" style="18" customWidth="1"/>
    <col min="14599" max="14599" width="16" style="18" customWidth="1"/>
    <col min="14600" max="14600" width="26" style="18" customWidth="1"/>
    <col min="14601" max="14601" width="9" style="18"/>
    <col min="14602" max="14602" width="9" style="18" customWidth="1"/>
    <col min="14603" max="14849" width="9" style="18"/>
    <col min="14850" max="14850" width="9.86328125" style="18" customWidth="1"/>
    <col min="14851" max="14851" width="2" style="18" customWidth="1"/>
    <col min="14852" max="14852" width="12.53125" style="18" customWidth="1"/>
    <col min="14853" max="14853" width="1.86328125" style="18" customWidth="1"/>
    <col min="14854" max="14854" width="2" style="18" customWidth="1"/>
    <col min="14855" max="14855" width="16" style="18" customWidth="1"/>
    <col min="14856" max="14856" width="26" style="18" customWidth="1"/>
    <col min="14857" max="14857" width="9" style="18"/>
    <col min="14858" max="14858" width="9" style="18" customWidth="1"/>
    <col min="14859" max="15105" width="9" style="18"/>
    <col min="15106" max="15106" width="9.86328125" style="18" customWidth="1"/>
    <col min="15107" max="15107" width="2" style="18" customWidth="1"/>
    <col min="15108" max="15108" width="12.53125" style="18" customWidth="1"/>
    <col min="15109" max="15109" width="1.86328125" style="18" customWidth="1"/>
    <col min="15110" max="15110" width="2" style="18" customWidth="1"/>
    <col min="15111" max="15111" width="16" style="18" customWidth="1"/>
    <col min="15112" max="15112" width="26" style="18" customWidth="1"/>
    <col min="15113" max="15113" width="9" style="18"/>
    <col min="15114" max="15114" width="9" style="18" customWidth="1"/>
    <col min="15115" max="15361" width="9" style="18"/>
    <col min="15362" max="15362" width="9.86328125" style="18" customWidth="1"/>
    <col min="15363" max="15363" width="2" style="18" customWidth="1"/>
    <col min="15364" max="15364" width="12.53125" style="18" customWidth="1"/>
    <col min="15365" max="15365" width="1.86328125" style="18" customWidth="1"/>
    <col min="15366" max="15366" width="2" style="18" customWidth="1"/>
    <col min="15367" max="15367" width="16" style="18" customWidth="1"/>
    <col min="15368" max="15368" width="26" style="18" customWidth="1"/>
    <col min="15369" max="15369" width="9" style="18"/>
    <col min="15370" max="15370" width="9" style="18" customWidth="1"/>
    <col min="15371" max="15617" width="9" style="18"/>
    <col min="15618" max="15618" width="9.86328125" style="18" customWidth="1"/>
    <col min="15619" max="15619" width="2" style="18" customWidth="1"/>
    <col min="15620" max="15620" width="12.53125" style="18" customWidth="1"/>
    <col min="15621" max="15621" width="1.86328125" style="18" customWidth="1"/>
    <col min="15622" max="15622" width="2" style="18" customWidth="1"/>
    <col min="15623" max="15623" width="16" style="18" customWidth="1"/>
    <col min="15624" max="15624" width="26" style="18" customWidth="1"/>
    <col min="15625" max="15625" width="9" style="18"/>
    <col min="15626" max="15626" width="9" style="18" customWidth="1"/>
    <col min="15627" max="15873" width="9" style="18"/>
    <col min="15874" max="15874" width="9.86328125" style="18" customWidth="1"/>
    <col min="15875" max="15875" width="2" style="18" customWidth="1"/>
    <col min="15876" max="15876" width="12.53125" style="18" customWidth="1"/>
    <col min="15877" max="15877" width="1.86328125" style="18" customWidth="1"/>
    <col min="15878" max="15878" width="2" style="18" customWidth="1"/>
    <col min="15879" max="15879" width="16" style="18" customWidth="1"/>
    <col min="15880" max="15880" width="26" style="18" customWidth="1"/>
    <col min="15881" max="15881" width="9" style="18"/>
    <col min="15882" max="15882" width="9" style="18" customWidth="1"/>
    <col min="15883" max="16129" width="9" style="18"/>
    <col min="16130" max="16130" width="9.86328125" style="18" customWidth="1"/>
    <col min="16131" max="16131" width="2" style="18" customWidth="1"/>
    <col min="16132" max="16132" width="12.53125" style="18" customWidth="1"/>
    <col min="16133" max="16133" width="1.86328125" style="18" customWidth="1"/>
    <col min="16134" max="16134" width="2" style="18" customWidth="1"/>
    <col min="16135" max="16135" width="16" style="18" customWidth="1"/>
    <col min="16136" max="16136" width="26" style="18" customWidth="1"/>
    <col min="16137" max="16137" width="9" style="18"/>
    <col min="16138" max="16138" width="9" style="18" customWidth="1"/>
    <col min="16139" max="16384" width="9" style="18"/>
  </cols>
  <sheetData>
    <row r="1" spans="1:12" ht="5.25" customHeight="1">
      <c r="A1" s="37"/>
      <c r="B1" s="64"/>
      <c r="C1" s="64"/>
      <c r="D1" s="64"/>
      <c r="E1" s="64"/>
      <c r="F1" s="64"/>
      <c r="G1" s="64"/>
      <c r="H1" s="64"/>
      <c r="I1" s="64"/>
      <c r="J1" s="64"/>
    </row>
    <row r="2" spans="1:12" ht="15" customHeight="1">
      <c r="A2" s="37" t="s">
        <v>267</v>
      </c>
      <c r="B2" s="37"/>
      <c r="C2" s="37" t="s">
        <v>2</v>
      </c>
      <c r="D2" s="796" t="s">
        <v>1100</v>
      </c>
      <c r="E2" s="37"/>
      <c r="F2" s="37"/>
      <c r="G2" s="37"/>
      <c r="H2" s="37"/>
      <c r="I2" s="37"/>
      <c r="J2" s="37"/>
      <c r="K2" s="37"/>
    </row>
    <row r="3" spans="1:12" ht="15" customHeight="1">
      <c r="A3" s="60" t="s">
        <v>237</v>
      </c>
      <c r="B3" s="60"/>
      <c r="C3" s="60" t="s">
        <v>2</v>
      </c>
      <c r="D3" s="60" t="str">
        <f>Input!$D$85</f>
        <v>05/1/XII/Pj.P BPKAD/2025</v>
      </c>
      <c r="E3" s="60"/>
      <c r="F3" s="60"/>
      <c r="G3" s="60"/>
      <c r="H3" s="60"/>
      <c r="I3" s="60"/>
      <c r="J3" s="60"/>
      <c r="K3" s="60"/>
    </row>
    <row r="4" spans="1:12" ht="15" customHeight="1">
      <c r="A4" s="60" t="s">
        <v>1101</v>
      </c>
      <c r="B4" s="60"/>
      <c r="C4" s="60" t="s">
        <v>2</v>
      </c>
      <c r="D4" s="60" t="str">
        <f>Input!$E$85&amp;", "&amp;TEXT(Input!$F$85,"[$-421]d mmmm yyyy")</f>
        <v>Selasa, 1 Agustus 2023</v>
      </c>
      <c r="E4" s="60"/>
      <c r="F4" s="60"/>
      <c r="G4" s="60"/>
      <c r="H4" s="60"/>
      <c r="I4" s="60"/>
      <c r="J4" s="60"/>
      <c r="K4" s="60"/>
    </row>
    <row r="5" spans="1:12" ht="5.25" customHeight="1">
      <c r="A5" s="64"/>
      <c r="B5" s="64"/>
      <c r="C5" s="64"/>
      <c r="D5" s="64"/>
      <c r="E5" s="64"/>
      <c r="F5" s="64"/>
      <c r="G5" s="64"/>
      <c r="H5" s="64"/>
      <c r="I5" s="64"/>
      <c r="J5" s="64"/>
    </row>
    <row r="6" spans="1:12" s="56" customFormat="1" ht="30.6" customHeight="1">
      <c r="A6" s="1226" t="s">
        <v>258</v>
      </c>
      <c r="B6" s="1232" t="s">
        <v>298</v>
      </c>
      <c r="C6" s="1233"/>
      <c r="D6" s="1234"/>
      <c r="E6" s="1228" t="s">
        <v>332</v>
      </c>
      <c r="F6" s="1228" t="s">
        <v>333</v>
      </c>
      <c r="G6" s="1217" t="s">
        <v>382</v>
      </c>
      <c r="H6" s="1218"/>
      <c r="I6" s="1219"/>
      <c r="J6" s="1230" t="s">
        <v>1102</v>
      </c>
      <c r="K6" s="37"/>
    </row>
    <row r="7" spans="1:12" s="56" customFormat="1" ht="14.25" customHeight="1">
      <c r="A7" s="1227"/>
      <c r="B7" s="1235"/>
      <c r="C7" s="1236"/>
      <c r="D7" s="1237"/>
      <c r="E7" s="1229"/>
      <c r="F7" s="1229"/>
      <c r="G7" s="206" t="s">
        <v>24</v>
      </c>
      <c r="H7" s="206" t="s">
        <v>1103</v>
      </c>
      <c r="I7" s="206" t="s">
        <v>1104</v>
      </c>
      <c r="J7" s="1231"/>
      <c r="K7" s="37"/>
      <c r="L7" s="71" t="s">
        <v>253</v>
      </c>
    </row>
    <row r="8" spans="1:12" s="56" customFormat="1" ht="15" customHeight="1">
      <c r="A8" s="207"/>
      <c r="B8" s="1220"/>
      <c r="C8" s="1221"/>
      <c r="D8" s="1221"/>
      <c r="E8" s="208"/>
      <c r="F8" s="208"/>
      <c r="G8" s="209"/>
      <c r="H8" s="209"/>
      <c r="I8" s="209"/>
      <c r="J8" s="226"/>
      <c r="K8" s="44"/>
    </row>
    <row r="9" spans="1:12" s="56" customFormat="1">
      <c r="A9" s="210">
        <f t="shared" ref="A9:A34" si="0">IF(B9&lt;&gt;0,MAX(A5:A8)+1,0)</f>
        <v>1</v>
      </c>
      <c r="B9" s="1222" t="str">
        <f>PPK.HPS!B16</f>
        <v>PEKERJAAN PERSIAPAN</v>
      </c>
      <c r="C9" s="1223"/>
      <c r="D9" s="1223"/>
      <c r="E9" s="211">
        <f>PPK.HPS!F16</f>
        <v>0</v>
      </c>
      <c r="F9" s="212">
        <f>PPK.HPS!G16</f>
        <v>0</v>
      </c>
      <c r="G9" s="96">
        <f>PPK.HPS!H16</f>
        <v>0</v>
      </c>
      <c r="H9" s="96"/>
      <c r="I9" s="96">
        <f>IF(B9&lt;&gt;"",MIN(G9:H9),0)</f>
        <v>0</v>
      </c>
      <c r="J9" s="227">
        <f>F9*I9</f>
        <v>0</v>
      </c>
      <c r="K9" s="37"/>
    </row>
    <row r="10" spans="1:12" s="56" customFormat="1" ht="15" customHeight="1">
      <c r="A10" s="210">
        <f t="shared" si="0"/>
        <v>2</v>
      </c>
      <c r="B10" s="1222" t="str">
        <f>PPK.HPS!B17</f>
        <v>Pengukuran</v>
      </c>
      <c r="C10" s="1223"/>
      <c r="D10" s="1223"/>
      <c r="E10" s="211" t="str">
        <f>PPK.HPS!F17</f>
        <v>keg</v>
      </c>
      <c r="F10" s="212">
        <f>PPK.HPS!G17</f>
        <v>1</v>
      </c>
      <c r="G10" s="96">
        <f>PPK.HPS!H17</f>
        <v>200000</v>
      </c>
      <c r="H10" s="96"/>
      <c r="I10" s="96">
        <f>IF(B10&lt;&gt;"",MIN(G10:H10),0)</f>
        <v>200000</v>
      </c>
      <c r="J10" s="227">
        <f t="shared" ref="J10:J34" si="1">F10*I10</f>
        <v>200000</v>
      </c>
      <c r="K10" s="37"/>
    </row>
    <row r="11" spans="1:12" s="56" customFormat="1" ht="15" customHeight="1">
      <c r="A11" s="210">
        <f t="shared" si="0"/>
        <v>3</v>
      </c>
      <c r="B11" s="1222" t="str">
        <f>PPK.HPS!B18</f>
        <v>Pembersihan Lokasi</v>
      </c>
      <c r="C11" s="1223"/>
      <c r="D11" s="1223"/>
      <c r="E11" s="211" t="str">
        <f>PPK.HPS!F18</f>
        <v>keg</v>
      </c>
      <c r="F11" s="212">
        <f>PPK.HPS!G18</f>
        <v>1</v>
      </c>
      <c r="G11" s="96">
        <f>PPK.HPS!H18</f>
        <v>300000</v>
      </c>
      <c r="H11" s="96"/>
      <c r="I11" s="96">
        <f t="shared" ref="I11:I34" si="2">IF(B11&lt;&gt;"",MIN(G11:H11),0)</f>
        <v>300000</v>
      </c>
      <c r="J11" s="227">
        <f t="shared" si="1"/>
        <v>300000</v>
      </c>
      <c r="K11" s="37"/>
    </row>
    <row r="12" spans="1:12" s="56" customFormat="1" ht="15" customHeight="1">
      <c r="A12" s="210">
        <f t="shared" si="0"/>
        <v>0</v>
      </c>
      <c r="B12" s="1222">
        <f>PPK.HPS!B19</f>
        <v>0</v>
      </c>
      <c r="C12" s="1223"/>
      <c r="D12" s="1223"/>
      <c r="E12" s="211">
        <f>PPK.HPS!F19</f>
        <v>0</v>
      </c>
      <c r="F12" s="212">
        <f>PPK.HPS!G19</f>
        <v>0</v>
      </c>
      <c r="G12" s="96">
        <f>PPK.HPS!H19</f>
        <v>0</v>
      </c>
      <c r="H12" s="96"/>
      <c r="I12" s="96">
        <f t="shared" si="2"/>
        <v>0</v>
      </c>
      <c r="J12" s="227">
        <f t="shared" si="1"/>
        <v>0</v>
      </c>
      <c r="K12" s="37"/>
    </row>
    <row r="13" spans="1:12" s="56" customFormat="1" ht="15" customHeight="1">
      <c r="A13" s="210">
        <f t="shared" si="0"/>
        <v>4</v>
      </c>
      <c r="B13" s="1222" t="str">
        <f>PPK.HPS!B20</f>
        <v>SMK3 KONSTRUKSI</v>
      </c>
      <c r="C13" s="1223"/>
      <c r="D13" s="1223"/>
      <c r="E13" s="211">
        <f>PPK.HPS!F20</f>
        <v>0</v>
      </c>
      <c r="F13" s="212">
        <f>PPK.HPS!G20</f>
        <v>0</v>
      </c>
      <c r="G13" s="96">
        <f>PPK.HPS!H20</f>
        <v>0</v>
      </c>
      <c r="H13" s="96"/>
      <c r="I13" s="96">
        <f t="shared" si="2"/>
        <v>0</v>
      </c>
      <c r="J13" s="227">
        <f t="shared" si="1"/>
        <v>0</v>
      </c>
      <c r="K13" s="37"/>
    </row>
    <row r="14" spans="1:12" s="56" customFormat="1" ht="15" customHeight="1">
      <c r="A14" s="210">
        <f t="shared" si="0"/>
        <v>5</v>
      </c>
      <c r="B14" s="1222" t="str">
        <f>PPK.HPS!B21</f>
        <v>Alat Pelindung Kerja dan Alat Pelindung Diri</v>
      </c>
      <c r="C14" s="1223"/>
      <c r="D14" s="1223"/>
      <c r="E14" s="211" t="str">
        <f>PPK.HPS!F21</f>
        <v>set</v>
      </c>
      <c r="F14" s="212">
        <f>PPK.HPS!G21</f>
        <v>5</v>
      </c>
      <c r="G14" s="96">
        <f>PPK.HPS!H21</f>
        <v>75000</v>
      </c>
      <c r="H14" s="96"/>
      <c r="I14" s="96">
        <f t="shared" si="2"/>
        <v>75000</v>
      </c>
      <c r="J14" s="227">
        <f t="shared" si="1"/>
        <v>375000</v>
      </c>
      <c r="K14" s="37"/>
    </row>
    <row r="15" spans="1:12" s="56" customFormat="1" ht="15" customHeight="1">
      <c r="A15" s="210">
        <f t="shared" si="0"/>
        <v>0</v>
      </c>
      <c r="B15" s="1222">
        <f>PPK.HPS!B22</f>
        <v>0</v>
      </c>
      <c r="C15" s="1223"/>
      <c r="D15" s="1223"/>
      <c r="E15" s="211">
        <f>PPK.HPS!F22</f>
        <v>0</v>
      </c>
      <c r="F15" s="212">
        <f>PPK.HPS!G22</f>
        <v>0</v>
      </c>
      <c r="G15" s="96">
        <f>PPK.HPS!H22</f>
        <v>0</v>
      </c>
      <c r="H15" s="96"/>
      <c r="I15" s="96">
        <f t="shared" si="2"/>
        <v>0</v>
      </c>
      <c r="J15" s="227">
        <f t="shared" si="1"/>
        <v>0</v>
      </c>
      <c r="K15" s="37"/>
    </row>
    <row r="16" spans="1:12" s="56" customFormat="1" ht="15" customHeight="1">
      <c r="A16" s="210">
        <f t="shared" si="0"/>
        <v>6</v>
      </c>
      <c r="B16" s="1222" t="str">
        <f>PPK.HPS!B23</f>
        <v>PEKERJAAN PENGECATAN</v>
      </c>
      <c r="C16" s="1223"/>
      <c r="D16" s="1223"/>
      <c r="E16" s="211">
        <f>PPK.HPS!F23</f>
        <v>0</v>
      </c>
      <c r="F16" s="212">
        <f>PPK.HPS!G23</f>
        <v>0</v>
      </c>
      <c r="G16" s="96">
        <f>PPK.HPS!H23</f>
        <v>0</v>
      </c>
      <c r="H16" s="96"/>
      <c r="I16" s="96">
        <f t="shared" si="2"/>
        <v>0</v>
      </c>
      <c r="J16" s="227">
        <f t="shared" si="1"/>
        <v>0</v>
      </c>
      <c r="K16" s="37"/>
    </row>
    <row r="17" spans="1:11" s="56" customFormat="1" ht="15" customHeight="1">
      <c r="A17" s="210">
        <f t="shared" si="0"/>
        <v>7</v>
      </c>
      <c r="B17" s="1222" t="str">
        <f>PPK.HPS!B24</f>
        <v>Sewa stager</v>
      </c>
      <c r="C17" s="1223"/>
      <c r="D17" s="1223"/>
      <c r="E17" s="211" t="str">
        <f>PPK.HPS!F24</f>
        <v>keg</v>
      </c>
      <c r="F17" s="212">
        <f>PPK.HPS!G24</f>
        <v>1</v>
      </c>
      <c r="G17" s="96">
        <f>PPK.HPS!H24</f>
        <v>4500000</v>
      </c>
      <c r="H17" s="96"/>
      <c r="I17" s="96">
        <f t="shared" si="2"/>
        <v>4500000</v>
      </c>
      <c r="J17" s="227">
        <f t="shared" si="1"/>
        <v>4500000</v>
      </c>
      <c r="K17" s="37"/>
    </row>
    <row r="18" spans="1:11" s="56" customFormat="1" ht="15" customHeight="1">
      <c r="A18" s="210">
        <f t="shared" si="0"/>
        <v>8</v>
      </c>
      <c r="B18" s="1222" t="str">
        <f>PPK.HPS!B25</f>
        <v xml:space="preserve">Pengerokan cat yang terkelupas </v>
      </c>
      <c r="C18" s="1223"/>
      <c r="D18" s="1223"/>
      <c r="E18" s="211" t="str">
        <f>PPK.HPS!F25</f>
        <v>m2</v>
      </c>
      <c r="F18" s="212">
        <f>PPK.HPS!G25</f>
        <v>168.58</v>
      </c>
      <c r="G18" s="96">
        <f>PPK.HPS!H25</f>
        <v>19719.974999999999</v>
      </c>
      <c r="H18" s="96"/>
      <c r="I18" s="96">
        <f t="shared" si="2"/>
        <v>19719.974999999999</v>
      </c>
      <c r="J18" s="227">
        <f t="shared" si="1"/>
        <v>3324393.3854999999</v>
      </c>
      <c r="K18" s="37"/>
    </row>
    <row r="19" spans="1:11" s="56" customFormat="1" ht="15" customHeight="1">
      <c r="A19" s="210">
        <f t="shared" si="0"/>
        <v>9</v>
      </c>
      <c r="B19" s="1222" t="str">
        <f>PPK.HPS!B26</f>
        <v>Pengecatan ulang dinding luar</v>
      </c>
      <c r="C19" s="1223"/>
      <c r="D19" s="1223"/>
      <c r="E19" s="211" t="str">
        <f>PPK.HPS!F26</f>
        <v>m2</v>
      </c>
      <c r="F19" s="212">
        <f>PPK.HPS!G26</f>
        <v>842.91</v>
      </c>
      <c r="G19" s="96">
        <f>PPK.HPS!H26</f>
        <v>40683.290999999997</v>
      </c>
      <c r="H19" s="96"/>
      <c r="I19" s="96">
        <f t="shared" si="2"/>
        <v>40683.290999999997</v>
      </c>
      <c r="J19" s="227">
        <f t="shared" si="1"/>
        <v>34292352.816809997</v>
      </c>
      <c r="K19" s="37"/>
    </row>
    <row r="20" spans="1:11" s="56" customFormat="1" ht="15" customHeight="1">
      <c r="A20" s="210">
        <f t="shared" si="0"/>
        <v>10</v>
      </c>
      <c r="B20" s="1222" t="str">
        <f>PPK.HPS!B27</f>
        <v>Pengecatan ACP dengan cat besi</v>
      </c>
      <c r="C20" s="1223"/>
      <c r="D20" s="1223"/>
      <c r="E20" s="211" t="str">
        <f>PPK.HPS!F27</f>
        <v>m2</v>
      </c>
      <c r="F20" s="212">
        <f>PPK.HPS!G27</f>
        <v>419</v>
      </c>
      <c r="G20" s="96">
        <f>PPK.HPS!H27</f>
        <v>47607.593000000001</v>
      </c>
      <c r="H20" s="96"/>
      <c r="I20" s="96">
        <f t="shared" si="2"/>
        <v>47607.593000000001</v>
      </c>
      <c r="J20" s="227">
        <f t="shared" si="1"/>
        <v>19947581.467</v>
      </c>
      <c r="K20" s="37"/>
    </row>
    <row r="21" spans="1:11" s="56" customFormat="1" ht="15" customHeight="1">
      <c r="A21" s="210">
        <f t="shared" si="0"/>
        <v>0</v>
      </c>
      <c r="B21" s="1222">
        <f>PPK.HPS!B28</f>
        <v>0</v>
      </c>
      <c r="C21" s="1223"/>
      <c r="D21" s="1223"/>
      <c r="E21" s="211">
        <f>PPK.HPS!F28</f>
        <v>0</v>
      </c>
      <c r="F21" s="212">
        <f>PPK.HPS!G28</f>
        <v>0</v>
      </c>
      <c r="G21" s="96">
        <f>PPK.HPS!H28</f>
        <v>0</v>
      </c>
      <c r="H21" s="96"/>
      <c r="I21" s="96"/>
      <c r="J21" s="227"/>
      <c r="K21" s="37"/>
    </row>
    <row r="22" spans="1:11" s="56" customFormat="1" ht="15" customHeight="1">
      <c r="A22" s="210">
        <f t="shared" si="0"/>
        <v>0</v>
      </c>
      <c r="B22" s="1222">
        <f>PPK.HPS!B29</f>
        <v>0</v>
      </c>
      <c r="C22" s="1223"/>
      <c r="D22" s="1223"/>
      <c r="E22" s="211">
        <f>PPK.HPS!F29</f>
        <v>0</v>
      </c>
      <c r="F22" s="212">
        <f>PPK.HPS!G29</f>
        <v>0</v>
      </c>
      <c r="G22" s="96">
        <f>PPK.HPS!H29</f>
        <v>0</v>
      </c>
      <c r="H22" s="96"/>
      <c r="I22" s="96">
        <f t="shared" si="2"/>
        <v>0</v>
      </c>
      <c r="J22" s="227">
        <f t="shared" si="1"/>
        <v>0</v>
      </c>
      <c r="K22" s="37"/>
    </row>
    <row r="23" spans="1:11" s="56" customFormat="1" ht="15" customHeight="1">
      <c r="A23" s="210">
        <f t="shared" si="0"/>
        <v>0</v>
      </c>
      <c r="B23" s="1222">
        <f>PPK.HPS!B30</f>
        <v>0</v>
      </c>
      <c r="C23" s="1223"/>
      <c r="D23" s="1223"/>
      <c r="E23" s="211">
        <f>PPK.HPS!F30</f>
        <v>0</v>
      </c>
      <c r="F23" s="212">
        <f>PPK.HPS!G30</f>
        <v>0</v>
      </c>
      <c r="G23" s="96">
        <f>PPK.HPS!H30</f>
        <v>0</v>
      </c>
      <c r="H23" s="96"/>
      <c r="I23" s="96">
        <f t="shared" si="2"/>
        <v>0</v>
      </c>
      <c r="J23" s="227">
        <f t="shared" si="1"/>
        <v>0</v>
      </c>
      <c r="K23" s="37"/>
    </row>
    <row r="24" spans="1:11" s="56" customFormat="1" ht="15" customHeight="1">
      <c r="A24" s="210">
        <f t="shared" si="0"/>
        <v>0</v>
      </c>
      <c r="B24" s="1222">
        <f>PPK.HPS!B31</f>
        <v>0</v>
      </c>
      <c r="C24" s="1223"/>
      <c r="D24" s="1223"/>
      <c r="E24" s="211">
        <f>PPK.HPS!F31</f>
        <v>0</v>
      </c>
      <c r="F24" s="212">
        <f>PPK.HPS!G31</f>
        <v>0</v>
      </c>
      <c r="G24" s="96">
        <f>PPK.HPS!H31</f>
        <v>0</v>
      </c>
      <c r="H24" s="96"/>
      <c r="I24" s="96">
        <f t="shared" si="2"/>
        <v>0</v>
      </c>
      <c r="J24" s="227">
        <f t="shared" si="1"/>
        <v>0</v>
      </c>
      <c r="K24" s="37"/>
    </row>
    <row r="25" spans="1:11" s="56" customFormat="1" ht="15" customHeight="1">
      <c r="A25" s="210">
        <f t="shared" si="0"/>
        <v>0</v>
      </c>
      <c r="B25" s="1222">
        <f>PPK.HPS!B32</f>
        <v>0</v>
      </c>
      <c r="C25" s="1223"/>
      <c r="D25" s="1223"/>
      <c r="E25" s="211">
        <f>PPK.HPS!F32</f>
        <v>0</v>
      </c>
      <c r="F25" s="212">
        <f>PPK.HPS!G32</f>
        <v>0</v>
      </c>
      <c r="G25" s="96">
        <f>PPK.HPS!H32</f>
        <v>0</v>
      </c>
      <c r="H25" s="96"/>
      <c r="I25" s="96">
        <f t="shared" si="2"/>
        <v>0</v>
      </c>
      <c r="J25" s="227">
        <f t="shared" si="1"/>
        <v>0</v>
      </c>
      <c r="K25" s="37"/>
    </row>
    <row r="26" spans="1:11" s="56" customFormat="1" ht="15" customHeight="1">
      <c r="A26" s="210">
        <f t="shared" si="0"/>
        <v>0</v>
      </c>
      <c r="B26" s="1222">
        <f>PPK.HPS!B33</f>
        <v>0</v>
      </c>
      <c r="C26" s="1223"/>
      <c r="D26" s="1223"/>
      <c r="E26" s="211">
        <f>PPK.HPS!F33</f>
        <v>0</v>
      </c>
      <c r="F26" s="212">
        <f>PPK.HPS!G33</f>
        <v>0</v>
      </c>
      <c r="G26" s="96">
        <f>PPK.HPS!H33</f>
        <v>0</v>
      </c>
      <c r="H26" s="96"/>
      <c r="I26" s="96">
        <f t="shared" si="2"/>
        <v>0</v>
      </c>
      <c r="J26" s="227">
        <f t="shared" si="1"/>
        <v>0</v>
      </c>
      <c r="K26" s="37"/>
    </row>
    <row r="27" spans="1:11" s="56" customFormat="1" ht="15" customHeight="1">
      <c r="A27" s="210">
        <f t="shared" si="0"/>
        <v>0</v>
      </c>
      <c r="B27" s="1222">
        <f>PPK.HPS!B34</f>
        <v>0</v>
      </c>
      <c r="C27" s="1223"/>
      <c r="D27" s="1223"/>
      <c r="E27" s="211">
        <f>PPK.HPS!F34</f>
        <v>0</v>
      </c>
      <c r="F27" s="212">
        <f>PPK.HPS!G34</f>
        <v>0</v>
      </c>
      <c r="G27" s="96">
        <f>PPK.HPS!H34</f>
        <v>0</v>
      </c>
      <c r="H27" s="96"/>
      <c r="I27" s="96">
        <f t="shared" si="2"/>
        <v>0</v>
      </c>
      <c r="J27" s="227">
        <f t="shared" si="1"/>
        <v>0</v>
      </c>
      <c r="K27" s="37"/>
    </row>
    <row r="28" spans="1:11" s="56" customFormat="1" ht="15" customHeight="1">
      <c r="A28" s="210">
        <f t="shared" si="0"/>
        <v>0</v>
      </c>
      <c r="B28" s="1222">
        <f>PPK.HPS!B35</f>
        <v>0</v>
      </c>
      <c r="C28" s="1223"/>
      <c r="D28" s="1223"/>
      <c r="E28" s="211">
        <f>PPK.HPS!F35</f>
        <v>0</v>
      </c>
      <c r="F28" s="212">
        <f>PPK.HPS!G35</f>
        <v>0</v>
      </c>
      <c r="G28" s="96">
        <f>PPK.HPS!H35</f>
        <v>0</v>
      </c>
      <c r="H28" s="96"/>
      <c r="I28" s="96">
        <f t="shared" si="2"/>
        <v>0</v>
      </c>
      <c r="J28" s="227">
        <f t="shared" si="1"/>
        <v>0</v>
      </c>
      <c r="K28" s="37"/>
    </row>
    <row r="29" spans="1:11" s="56" customFormat="1" ht="15" customHeight="1">
      <c r="A29" s="210">
        <f t="shared" si="0"/>
        <v>0</v>
      </c>
      <c r="B29" s="1222">
        <f>PPK.HPS!B36</f>
        <v>0</v>
      </c>
      <c r="C29" s="1223"/>
      <c r="D29" s="1223"/>
      <c r="E29" s="211">
        <f>PPK.HPS!F36</f>
        <v>0</v>
      </c>
      <c r="F29" s="212">
        <f>PPK.HPS!G36</f>
        <v>0</v>
      </c>
      <c r="G29" s="96">
        <f>PPK.HPS!H36</f>
        <v>0</v>
      </c>
      <c r="H29" s="96"/>
      <c r="I29" s="96">
        <f t="shared" si="2"/>
        <v>0</v>
      </c>
      <c r="J29" s="227">
        <f t="shared" si="1"/>
        <v>0</v>
      </c>
      <c r="K29" s="37"/>
    </row>
    <row r="30" spans="1:11" s="56" customFormat="1" ht="15" customHeight="1">
      <c r="A30" s="210">
        <f t="shared" si="0"/>
        <v>0</v>
      </c>
      <c r="B30" s="1222">
        <f>PPK.HPS!B37</f>
        <v>0</v>
      </c>
      <c r="C30" s="1223"/>
      <c r="D30" s="1223"/>
      <c r="E30" s="211">
        <f>PPK.HPS!F37</f>
        <v>0</v>
      </c>
      <c r="F30" s="212">
        <f>PPK.HPS!G37</f>
        <v>0</v>
      </c>
      <c r="G30" s="96">
        <f>PPK.HPS!H37</f>
        <v>0</v>
      </c>
      <c r="H30" s="96"/>
      <c r="I30" s="96"/>
      <c r="J30" s="227"/>
      <c r="K30" s="37"/>
    </row>
    <row r="31" spans="1:11" s="56" customFormat="1" ht="15" customHeight="1">
      <c r="A31" s="210">
        <f t="shared" si="0"/>
        <v>0</v>
      </c>
      <c r="B31" s="1222">
        <f>PPK.HPS!B38</f>
        <v>0</v>
      </c>
      <c r="C31" s="1223"/>
      <c r="D31" s="1223"/>
      <c r="E31" s="211">
        <f>PPK.HPS!F38</f>
        <v>0</v>
      </c>
      <c r="F31" s="212">
        <f>PPK.HPS!G38</f>
        <v>0</v>
      </c>
      <c r="G31" s="96">
        <f>PPK.HPS!H38</f>
        <v>0</v>
      </c>
      <c r="H31" s="96"/>
      <c r="I31" s="96">
        <f t="shared" si="2"/>
        <v>0</v>
      </c>
      <c r="J31" s="227">
        <f t="shared" si="1"/>
        <v>0</v>
      </c>
      <c r="K31" s="37"/>
    </row>
    <row r="32" spans="1:11" s="56" customFormat="1" ht="15" customHeight="1">
      <c r="A32" s="210">
        <f t="shared" si="0"/>
        <v>0</v>
      </c>
      <c r="B32" s="1222">
        <f>PPK.HPS!B39</f>
        <v>0</v>
      </c>
      <c r="C32" s="1223"/>
      <c r="D32" s="1223"/>
      <c r="E32" s="211">
        <f>PPK.HPS!F39</f>
        <v>0</v>
      </c>
      <c r="F32" s="212">
        <f>PPK.HPS!G39</f>
        <v>0</v>
      </c>
      <c r="G32" s="96">
        <f>PPK.HPS!H39</f>
        <v>0</v>
      </c>
      <c r="H32" s="96"/>
      <c r="I32" s="96">
        <f t="shared" si="2"/>
        <v>0</v>
      </c>
      <c r="J32" s="227">
        <f t="shared" si="1"/>
        <v>0</v>
      </c>
      <c r="K32" s="37"/>
    </row>
    <row r="33" spans="1:12" s="56" customFormat="1" ht="15" customHeight="1">
      <c r="A33" s="210">
        <f t="shared" si="0"/>
        <v>0</v>
      </c>
      <c r="B33" s="1222">
        <f>PPK.HPS!B40</f>
        <v>0</v>
      </c>
      <c r="C33" s="1223"/>
      <c r="D33" s="1223"/>
      <c r="E33" s="211">
        <f>PPK.HPS!F40</f>
        <v>0</v>
      </c>
      <c r="F33" s="212">
        <f>PPK.HPS!G40</f>
        <v>0</v>
      </c>
      <c r="G33" s="96">
        <f>PPK.HPS!H40</f>
        <v>0</v>
      </c>
      <c r="H33" s="96"/>
      <c r="I33" s="96">
        <f t="shared" si="2"/>
        <v>0</v>
      </c>
      <c r="J33" s="227">
        <f t="shared" si="1"/>
        <v>0</v>
      </c>
      <c r="K33" s="37"/>
    </row>
    <row r="34" spans="1:12" s="56" customFormat="1" ht="15" customHeight="1">
      <c r="A34" s="213">
        <f t="shared" si="0"/>
        <v>0</v>
      </c>
      <c r="B34" s="1242">
        <f>PPK.HPS!B41</f>
        <v>0</v>
      </c>
      <c r="C34" s="1243"/>
      <c r="D34" s="1243"/>
      <c r="E34" s="214">
        <f>PPK.HPS!F41</f>
        <v>0</v>
      </c>
      <c r="F34" s="215">
        <f>PPK.HPS!G41</f>
        <v>0</v>
      </c>
      <c r="G34" s="216">
        <f>PPK.HPS!H41</f>
        <v>0</v>
      </c>
      <c r="H34" s="216"/>
      <c r="I34" s="216">
        <f t="shared" si="2"/>
        <v>0</v>
      </c>
      <c r="J34" s="228">
        <f t="shared" si="1"/>
        <v>0</v>
      </c>
      <c r="K34" s="37"/>
    </row>
    <row r="35" spans="1:12" s="56" customFormat="1" ht="15" customHeight="1">
      <c r="A35" s="217"/>
      <c r="B35" s="1224"/>
      <c r="C35" s="1225"/>
      <c r="D35" s="1225"/>
      <c r="E35" s="218"/>
      <c r="F35" s="219"/>
      <c r="G35" s="220"/>
      <c r="H35" s="220"/>
      <c r="I35" s="229" t="s">
        <v>376</v>
      </c>
      <c r="J35" s="230">
        <f>SUM(J9:J34)</f>
        <v>62939327.669309996</v>
      </c>
      <c r="K35" s="37"/>
    </row>
    <row r="36" spans="1:12" s="56" customFormat="1" ht="15" customHeight="1">
      <c r="A36" s="210"/>
      <c r="B36" s="903"/>
      <c r="C36" s="904"/>
      <c r="D36" s="904"/>
      <c r="E36" s="92"/>
      <c r="F36" s="93"/>
      <c r="G36" s="94"/>
      <c r="H36" s="94"/>
      <c r="I36" s="231">
        <v>0.11</v>
      </c>
      <c r="J36" s="227">
        <f>J35*I36</f>
        <v>6923326.0436240993</v>
      </c>
      <c r="K36" s="37"/>
    </row>
    <row r="37" spans="1:12" s="56" customFormat="1" ht="15" customHeight="1">
      <c r="A37" s="221"/>
      <c r="B37" s="1238"/>
      <c r="C37" s="1239"/>
      <c r="D37" s="1239"/>
      <c r="E37" s="222"/>
      <c r="F37" s="223"/>
      <c r="G37" s="224"/>
      <c r="H37" s="224"/>
      <c r="I37" s="841" t="s">
        <v>1346</v>
      </c>
      <c r="J37" s="232">
        <f>ROUNDDOWN(J35+J36,-3)</f>
        <v>69862000</v>
      </c>
      <c r="K37" s="37"/>
      <c r="L37" s="112"/>
    </row>
    <row r="38" spans="1:12" s="56" customFormat="1" ht="15" customHeight="1">
      <c r="A38" s="98" t="s">
        <v>377</v>
      </c>
      <c r="B38" s="99"/>
      <c r="C38" s="99" t="s">
        <v>2</v>
      </c>
      <c r="D38" s="1240" t="str">
        <f>Uang!A21</f>
        <v>Enam Puluh Sembilan Juta Delapan Ratus Enam Puluh Dua Ribu Rupiah</v>
      </c>
      <c r="E38" s="1240"/>
      <c r="F38" s="1240"/>
      <c r="G38" s="1240"/>
      <c r="H38" s="1240"/>
      <c r="I38" s="1240"/>
      <c r="J38" s="1240"/>
      <c r="K38" s="37"/>
    </row>
    <row r="39" spans="1:12" s="56" customFormat="1" ht="5.25" customHeight="1">
      <c r="A39" s="37"/>
      <c r="B39" s="64"/>
      <c r="C39" s="64"/>
      <c r="D39" s="64"/>
      <c r="E39" s="44"/>
      <c r="F39" s="73"/>
      <c r="G39" s="74"/>
      <c r="H39" s="74"/>
      <c r="I39" s="74"/>
      <c r="J39" s="74"/>
      <c r="K39" s="37"/>
    </row>
    <row r="40" spans="1:12" ht="15" customHeight="1">
      <c r="A40" s="37" t="s">
        <v>378</v>
      </c>
      <c r="B40" s="37"/>
      <c r="C40" s="38"/>
      <c r="D40" s="38"/>
      <c r="E40" s="37"/>
      <c r="F40" s="37"/>
      <c r="G40" s="37"/>
      <c r="H40" s="37"/>
      <c r="I40" s="37"/>
      <c r="J40" s="37"/>
    </row>
    <row r="41" spans="1:12" ht="15" customHeight="1">
      <c r="A41" s="37"/>
      <c r="B41" s="37"/>
      <c r="C41" s="38"/>
      <c r="D41" s="38"/>
      <c r="E41" s="37"/>
      <c r="F41" s="37"/>
      <c r="G41" s="37"/>
      <c r="H41" s="37"/>
      <c r="I41" s="37"/>
      <c r="J41" s="37"/>
    </row>
    <row r="42" spans="1:12" ht="15" customHeight="1">
      <c r="A42" s="37"/>
      <c r="B42" s="1136" t="str">
        <f>opd_nama</f>
        <v>Badan Pengelolaan Keuangan dan Aset Daerah</v>
      </c>
      <c r="C42" s="1136"/>
      <c r="D42" s="1136"/>
      <c r="E42" s="1136"/>
      <c r="F42" s="1136"/>
      <c r="G42" s="44"/>
      <c r="H42" s="1136" t="str">
        <f>bu_nama</f>
        <v>PT. DARUSSALAM MEDIA GROUP</v>
      </c>
      <c r="I42" s="1136"/>
      <c r="J42" s="1136"/>
    </row>
    <row r="43" spans="1:12" ht="15" customHeight="1">
      <c r="A43" s="37"/>
      <c r="B43" s="44"/>
      <c r="C43" s="225"/>
      <c r="D43" s="225"/>
      <c r="E43" s="44"/>
      <c r="F43" s="44"/>
      <c r="G43" s="44"/>
      <c r="H43" s="44"/>
      <c r="I43" s="44"/>
      <c r="J43" s="44"/>
    </row>
    <row r="44" spans="1:12" ht="15" customHeight="1">
      <c r="A44" s="37"/>
      <c r="B44" s="44"/>
      <c r="C44" s="225"/>
      <c r="D44" s="225"/>
      <c r="E44" s="44"/>
      <c r="F44" s="44"/>
      <c r="G44" s="44"/>
      <c r="H44" s="44"/>
      <c r="I44" s="44"/>
      <c r="J44" s="44"/>
    </row>
    <row r="45" spans="1:12" ht="15" customHeight="1">
      <c r="A45" s="37"/>
      <c r="B45" s="44"/>
      <c r="C45" s="225"/>
      <c r="D45" s="225"/>
      <c r="E45" s="44"/>
      <c r="F45" s="44"/>
      <c r="G45" s="44"/>
      <c r="H45" s="44"/>
      <c r="I45" s="44"/>
      <c r="J45" s="44"/>
    </row>
    <row r="46" spans="1:12" ht="15" customHeight="1">
      <c r="A46" s="37"/>
      <c r="B46" s="44"/>
      <c r="C46" s="225"/>
      <c r="D46" s="225"/>
      <c r="E46" s="44"/>
      <c r="F46" s="44"/>
      <c r="G46" s="44"/>
      <c r="H46" s="44"/>
      <c r="I46" s="44"/>
      <c r="J46" s="44"/>
    </row>
    <row r="47" spans="1:12" ht="15" customHeight="1">
      <c r="A47" s="37"/>
      <c r="B47" s="1241" t="str">
        <f>_pan1</f>
        <v>Surmayanti Isnaini, S.IP</v>
      </c>
      <c r="C47" s="1241"/>
      <c r="D47" s="1241"/>
      <c r="E47" s="1241"/>
      <c r="F47" s="1241"/>
      <c r="G47" s="44"/>
      <c r="H47" s="1241" t="str">
        <f>bu_pimn</f>
        <v>Saripudin</v>
      </c>
      <c r="I47" s="1241"/>
      <c r="J47" s="1241"/>
    </row>
    <row r="48" spans="1:12" ht="15" customHeight="1">
      <c r="A48" s="37"/>
      <c r="B48" s="1138" t="str">
        <f>pokja</f>
        <v>Pejabat Pengadaan</v>
      </c>
      <c r="C48" s="1138"/>
      <c r="D48" s="1138"/>
      <c r="E48" s="1138"/>
      <c r="F48" s="1138"/>
      <c r="G48" s="44"/>
      <c r="H48" s="1138" t="str">
        <f>bu_pim</f>
        <v>Direktur</v>
      </c>
      <c r="I48" s="1138"/>
      <c r="J48" s="1138"/>
    </row>
    <row r="49" spans="1:11" ht="15" customHeight="1">
      <c r="A49" s="37"/>
      <c r="B49" s="37"/>
      <c r="C49" s="38"/>
      <c r="D49" s="38"/>
      <c r="E49" s="37"/>
      <c r="F49" s="37"/>
      <c r="G49" s="37"/>
      <c r="H49" s="37"/>
      <c r="I49" s="37"/>
      <c r="J49" s="37"/>
    </row>
    <row r="50" spans="1:11" ht="15" customHeight="1">
      <c r="C50" s="43"/>
      <c r="D50" s="43"/>
      <c r="G50" s="67"/>
      <c r="H50" s="67"/>
      <c r="I50" s="67"/>
      <c r="J50" s="53"/>
      <c r="K50" s="53"/>
    </row>
    <row r="51" spans="1:11" ht="15" customHeight="1">
      <c r="C51" s="43"/>
      <c r="D51" s="43"/>
      <c r="G51" s="54"/>
      <c r="H51" s="54"/>
      <c r="I51" s="54"/>
      <c r="J51" s="53"/>
      <c r="K51" s="53"/>
    </row>
    <row r="52" spans="1:11" ht="15" customHeight="1">
      <c r="C52" s="43"/>
      <c r="D52" s="43"/>
      <c r="G52" s="54"/>
      <c r="H52" s="54"/>
      <c r="I52" s="54"/>
      <c r="J52" s="53"/>
      <c r="K52" s="53"/>
    </row>
    <row r="53" spans="1:11" ht="15" customHeight="1">
      <c r="C53" s="43"/>
      <c r="D53" s="43"/>
      <c r="G53" s="44"/>
      <c r="H53" s="44"/>
      <c r="I53" s="44"/>
      <c r="J53" s="53"/>
      <c r="K53" s="53"/>
    </row>
    <row r="54" spans="1:11" ht="15" customHeight="1">
      <c r="C54" s="43"/>
      <c r="D54" s="43"/>
      <c r="G54" s="44"/>
      <c r="H54" s="44"/>
      <c r="I54" s="44"/>
      <c r="J54" s="53"/>
      <c r="K54" s="53"/>
    </row>
    <row r="55" spans="1:11" ht="15" customHeight="1">
      <c r="C55" s="43"/>
      <c r="D55" s="43"/>
      <c r="G55" s="55"/>
      <c r="H55" s="55"/>
      <c r="I55" s="55"/>
      <c r="J55" s="53"/>
      <c r="K55" s="53"/>
    </row>
    <row r="56" spans="1:11" ht="15" customHeight="1">
      <c r="C56" s="43"/>
      <c r="D56" s="43"/>
      <c r="G56" s="44"/>
      <c r="H56" s="44"/>
      <c r="I56" s="44"/>
      <c r="J56" s="53"/>
      <c r="K56" s="53"/>
    </row>
    <row r="57" spans="1:11" ht="15" customHeight="1">
      <c r="C57" s="43"/>
      <c r="D57" s="43"/>
      <c r="F57" s="44"/>
      <c r="G57" s="53"/>
      <c r="H57" s="53"/>
      <c r="I57" s="53"/>
      <c r="J57" s="53"/>
    </row>
    <row r="58" spans="1:11" ht="15" customHeight="1">
      <c r="C58" s="43"/>
      <c r="D58" s="43"/>
      <c r="F58" s="44"/>
      <c r="G58" s="53"/>
      <c r="H58" s="53"/>
      <c r="I58" s="53"/>
      <c r="J58" s="53"/>
    </row>
    <row r="59" spans="1:11" ht="15" customHeight="1">
      <c r="C59" s="43"/>
      <c r="D59" s="43"/>
      <c r="F59" s="44"/>
      <c r="G59" s="53"/>
      <c r="H59" s="53"/>
      <c r="I59" s="53"/>
      <c r="J59" s="53"/>
    </row>
    <row r="60" spans="1:11" ht="15" customHeight="1">
      <c r="C60" s="43"/>
      <c r="D60" s="43"/>
      <c r="F60" s="44"/>
      <c r="G60" s="53"/>
      <c r="H60" s="53"/>
      <c r="I60" s="53"/>
      <c r="J60" s="53"/>
    </row>
    <row r="62" spans="1:11" ht="60" customHeight="1"/>
  </sheetData>
  <mergeCells count="43">
    <mergeCell ref="B48:F48"/>
    <mergeCell ref="H48:J48"/>
    <mergeCell ref="A6:A7"/>
    <mergeCell ref="E6:E7"/>
    <mergeCell ref="F6:F7"/>
    <mergeCell ref="J6:J7"/>
    <mergeCell ref="B6:D7"/>
    <mergeCell ref="B37:D37"/>
    <mergeCell ref="D38:J38"/>
    <mergeCell ref="B42:F42"/>
    <mergeCell ref="H42:J42"/>
    <mergeCell ref="B47:F47"/>
    <mergeCell ref="H47:J47"/>
    <mergeCell ref="B32:D32"/>
    <mergeCell ref="B33:D33"/>
    <mergeCell ref="B34:D34"/>
    <mergeCell ref="B35:D35"/>
    <mergeCell ref="B36:D36"/>
    <mergeCell ref="B27:D27"/>
    <mergeCell ref="B28:D28"/>
    <mergeCell ref="B29:D29"/>
    <mergeCell ref="B30:D30"/>
    <mergeCell ref="B31:D31"/>
    <mergeCell ref="B22:D22"/>
    <mergeCell ref="B23:D23"/>
    <mergeCell ref="B24:D24"/>
    <mergeCell ref="B25:D25"/>
    <mergeCell ref="B26:D26"/>
    <mergeCell ref="B17:D17"/>
    <mergeCell ref="B18:D18"/>
    <mergeCell ref="B19:D19"/>
    <mergeCell ref="B20:D20"/>
    <mergeCell ref="B21:D21"/>
    <mergeCell ref="B12:D12"/>
    <mergeCell ref="B13:D13"/>
    <mergeCell ref="B14:D14"/>
    <mergeCell ref="B15:D15"/>
    <mergeCell ref="B16:D16"/>
    <mergeCell ref="G6:I6"/>
    <mergeCell ref="B8:D8"/>
    <mergeCell ref="B9:D9"/>
    <mergeCell ref="B10:D10"/>
    <mergeCell ref="B11:D11"/>
  </mergeCells>
  <hyperlinks>
    <hyperlink ref="L7" location="Input!A72" display="balik ke input" xr:uid="{00000000-0004-0000-0C00-000000000000}"/>
  </hyperlinks>
  <printOptions horizontalCentered="1"/>
  <pageMargins left="0.78740157480314998" right="0.55118110236220497" top="0.39370078740157499" bottom="0.78740157480314998" header="0.196850393700787" footer="0.196850393700787"/>
  <pageSetup paperSize="9" scale="91" orientation="portrait" horizontalDpi="200" verticalDpi="300" r:id="rId1"/>
  <ignoredErrors>
    <ignoredError sqref="I9"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M201"/>
  <sheetViews>
    <sheetView view="pageBreakPreview" zoomScale="115" zoomScaleNormal="100" workbookViewId="0">
      <selection activeCell="D2" sqref="D2:I2"/>
    </sheetView>
  </sheetViews>
  <sheetFormatPr defaultColWidth="9" defaultRowHeight="14.25"/>
  <cols>
    <col min="1" max="1" width="4.53125" style="18" customWidth="1"/>
    <col min="2" max="2" width="5.796875" style="18" customWidth="1"/>
    <col min="3" max="3" width="1.6640625" style="18" customWidth="1"/>
    <col min="4" max="4" width="14" style="18" customWidth="1"/>
    <col min="5" max="5" width="1.86328125" style="18" customWidth="1"/>
    <col min="6" max="6" width="22.19921875" style="18" customWidth="1"/>
    <col min="7" max="7" width="10.19921875" style="18" customWidth="1"/>
    <col min="8" max="8" width="14.33203125" style="18" customWidth="1"/>
    <col min="9" max="9" width="13.33203125" style="18" customWidth="1"/>
    <col min="10" max="10" width="9" style="18" hidden="1" customWidth="1"/>
    <col min="11" max="11" width="16.53125" style="18" customWidth="1"/>
    <col min="12" max="256" width="9" style="18"/>
    <col min="257" max="257" width="9.86328125" style="18" customWidth="1"/>
    <col min="258" max="258" width="2" style="18" customWidth="1"/>
    <col min="259" max="259" width="12.53125" style="18" customWidth="1"/>
    <col min="260" max="260" width="1.86328125" style="18" customWidth="1"/>
    <col min="261" max="261" width="2" style="18" customWidth="1"/>
    <col min="262" max="262" width="16" style="18" customWidth="1"/>
    <col min="263" max="263" width="26" style="18" customWidth="1"/>
    <col min="264" max="264" width="9" style="18"/>
    <col min="265" max="265" width="9" style="18" customWidth="1"/>
    <col min="266" max="512" width="9" style="18"/>
    <col min="513" max="513" width="9.86328125" style="18" customWidth="1"/>
    <col min="514" max="514" width="2" style="18" customWidth="1"/>
    <col min="515" max="515" width="12.53125" style="18" customWidth="1"/>
    <col min="516" max="516" width="1.86328125" style="18" customWidth="1"/>
    <col min="517" max="517" width="2" style="18" customWidth="1"/>
    <col min="518" max="518" width="16" style="18" customWidth="1"/>
    <col min="519" max="519" width="26" style="18" customWidth="1"/>
    <col min="520" max="520" width="9" style="18"/>
    <col min="521" max="521" width="9" style="18" customWidth="1"/>
    <col min="522" max="768" width="9" style="18"/>
    <col min="769" max="769" width="9.86328125" style="18" customWidth="1"/>
    <col min="770" max="770" width="2" style="18" customWidth="1"/>
    <col min="771" max="771" width="12.53125" style="18" customWidth="1"/>
    <col min="772" max="772" width="1.86328125" style="18" customWidth="1"/>
    <col min="773" max="773" width="2" style="18" customWidth="1"/>
    <col min="774" max="774" width="16" style="18" customWidth="1"/>
    <col min="775" max="775" width="26" style="18" customWidth="1"/>
    <col min="776" max="776" width="9" style="18"/>
    <col min="777" max="777" width="9" style="18" customWidth="1"/>
    <col min="778" max="1024" width="9" style="18"/>
    <col min="1025" max="1025" width="9.86328125" style="18" customWidth="1"/>
    <col min="1026" max="1026" width="2" style="18" customWidth="1"/>
    <col min="1027" max="1027" width="12.53125" style="18" customWidth="1"/>
    <col min="1028" max="1028" width="1.86328125" style="18" customWidth="1"/>
    <col min="1029" max="1029" width="2" style="18" customWidth="1"/>
    <col min="1030" max="1030" width="16" style="18" customWidth="1"/>
    <col min="1031" max="1031" width="26" style="18" customWidth="1"/>
    <col min="1032" max="1032" width="9" style="18"/>
    <col min="1033" max="1033" width="9" style="18" customWidth="1"/>
    <col min="1034" max="1280" width="9" style="18"/>
    <col min="1281" max="1281" width="9.86328125" style="18" customWidth="1"/>
    <col min="1282" max="1282" width="2" style="18" customWidth="1"/>
    <col min="1283" max="1283" width="12.53125" style="18" customWidth="1"/>
    <col min="1284" max="1284" width="1.86328125" style="18" customWidth="1"/>
    <col min="1285" max="1285" width="2" style="18" customWidth="1"/>
    <col min="1286" max="1286" width="16" style="18" customWidth="1"/>
    <col min="1287" max="1287" width="26" style="18" customWidth="1"/>
    <col min="1288" max="1288" width="9" style="18"/>
    <col min="1289" max="1289" width="9" style="18" customWidth="1"/>
    <col min="1290" max="1536" width="9" style="18"/>
    <col min="1537" max="1537" width="9.86328125" style="18" customWidth="1"/>
    <col min="1538" max="1538" width="2" style="18" customWidth="1"/>
    <col min="1539" max="1539" width="12.53125" style="18" customWidth="1"/>
    <col min="1540" max="1540" width="1.86328125" style="18" customWidth="1"/>
    <col min="1541" max="1541" width="2" style="18" customWidth="1"/>
    <col min="1542" max="1542" width="16" style="18" customWidth="1"/>
    <col min="1543" max="1543" width="26" style="18" customWidth="1"/>
    <col min="1544" max="1544" width="9" style="18"/>
    <col min="1545" max="1545" width="9" style="18" customWidth="1"/>
    <col min="1546" max="1792" width="9" style="18"/>
    <col min="1793" max="1793" width="9.86328125" style="18" customWidth="1"/>
    <col min="1794" max="1794" width="2" style="18" customWidth="1"/>
    <col min="1795" max="1795" width="12.53125" style="18" customWidth="1"/>
    <col min="1796" max="1796" width="1.86328125" style="18" customWidth="1"/>
    <col min="1797" max="1797" width="2" style="18" customWidth="1"/>
    <col min="1798" max="1798" width="16" style="18" customWidth="1"/>
    <col min="1799" max="1799" width="26" style="18" customWidth="1"/>
    <col min="1800" max="1800" width="9" style="18"/>
    <col min="1801" max="1801" width="9" style="18" customWidth="1"/>
    <col min="1802" max="2048" width="9" style="18"/>
    <col min="2049" max="2049" width="9.86328125" style="18" customWidth="1"/>
    <col min="2050" max="2050" width="2" style="18" customWidth="1"/>
    <col min="2051" max="2051" width="12.53125" style="18" customWidth="1"/>
    <col min="2052" max="2052" width="1.86328125" style="18" customWidth="1"/>
    <col min="2053" max="2053" width="2" style="18" customWidth="1"/>
    <col min="2054" max="2054" width="16" style="18" customWidth="1"/>
    <col min="2055" max="2055" width="26" style="18" customWidth="1"/>
    <col min="2056" max="2056" width="9" style="18"/>
    <col min="2057" max="2057" width="9" style="18" customWidth="1"/>
    <col min="2058" max="2304" width="9" style="18"/>
    <col min="2305" max="2305" width="9.86328125" style="18" customWidth="1"/>
    <col min="2306" max="2306" width="2" style="18" customWidth="1"/>
    <col min="2307" max="2307" width="12.53125" style="18" customWidth="1"/>
    <col min="2308" max="2308" width="1.86328125" style="18" customWidth="1"/>
    <col min="2309" max="2309" width="2" style="18" customWidth="1"/>
    <col min="2310" max="2310" width="16" style="18" customWidth="1"/>
    <col min="2311" max="2311" width="26" style="18" customWidth="1"/>
    <col min="2312" max="2312" width="9" style="18"/>
    <col min="2313" max="2313" width="9" style="18" customWidth="1"/>
    <col min="2314" max="2560" width="9" style="18"/>
    <col min="2561" max="2561" width="9.86328125" style="18" customWidth="1"/>
    <col min="2562" max="2562" width="2" style="18" customWidth="1"/>
    <col min="2563" max="2563" width="12.53125" style="18" customWidth="1"/>
    <col min="2564" max="2564" width="1.86328125" style="18" customWidth="1"/>
    <col min="2565" max="2565" width="2" style="18" customWidth="1"/>
    <col min="2566" max="2566" width="16" style="18" customWidth="1"/>
    <col min="2567" max="2567" width="26" style="18" customWidth="1"/>
    <col min="2568" max="2568" width="9" style="18"/>
    <col min="2569" max="2569" width="9" style="18" customWidth="1"/>
    <col min="2570" max="2816" width="9" style="18"/>
    <col min="2817" max="2817" width="9.86328125" style="18" customWidth="1"/>
    <col min="2818" max="2818" width="2" style="18" customWidth="1"/>
    <col min="2819" max="2819" width="12.53125" style="18" customWidth="1"/>
    <col min="2820" max="2820" width="1.86328125" style="18" customWidth="1"/>
    <col min="2821" max="2821" width="2" style="18" customWidth="1"/>
    <col min="2822" max="2822" width="16" style="18" customWidth="1"/>
    <col min="2823" max="2823" width="26" style="18" customWidth="1"/>
    <col min="2824" max="2824" width="9" style="18"/>
    <col min="2825" max="2825" width="9" style="18" customWidth="1"/>
    <col min="2826" max="3072" width="9" style="18"/>
    <col min="3073" max="3073" width="9.86328125" style="18" customWidth="1"/>
    <col min="3074" max="3074" width="2" style="18" customWidth="1"/>
    <col min="3075" max="3075" width="12.53125" style="18" customWidth="1"/>
    <col min="3076" max="3076" width="1.86328125" style="18" customWidth="1"/>
    <col min="3077" max="3077" width="2" style="18" customWidth="1"/>
    <col min="3078" max="3078" width="16" style="18" customWidth="1"/>
    <col min="3079" max="3079" width="26" style="18" customWidth="1"/>
    <col min="3080" max="3080" width="9" style="18"/>
    <col min="3081" max="3081" width="9" style="18" customWidth="1"/>
    <col min="3082" max="3328" width="9" style="18"/>
    <col min="3329" max="3329" width="9.86328125" style="18" customWidth="1"/>
    <col min="3330" max="3330" width="2" style="18" customWidth="1"/>
    <col min="3331" max="3331" width="12.53125" style="18" customWidth="1"/>
    <col min="3332" max="3332" width="1.86328125" style="18" customWidth="1"/>
    <col min="3333" max="3333" width="2" style="18" customWidth="1"/>
    <col min="3334" max="3334" width="16" style="18" customWidth="1"/>
    <col min="3335" max="3335" width="26" style="18" customWidth="1"/>
    <col min="3336" max="3336" width="9" style="18"/>
    <col min="3337" max="3337" width="9" style="18" customWidth="1"/>
    <col min="3338" max="3584" width="9" style="18"/>
    <col min="3585" max="3585" width="9.86328125" style="18" customWidth="1"/>
    <col min="3586" max="3586" width="2" style="18" customWidth="1"/>
    <col min="3587" max="3587" width="12.53125" style="18" customWidth="1"/>
    <col min="3588" max="3588" width="1.86328125" style="18" customWidth="1"/>
    <col min="3589" max="3589" width="2" style="18" customWidth="1"/>
    <col min="3590" max="3590" width="16" style="18" customWidth="1"/>
    <col min="3591" max="3591" width="26" style="18" customWidth="1"/>
    <col min="3592" max="3592" width="9" style="18"/>
    <col min="3593" max="3593" width="9" style="18" customWidth="1"/>
    <col min="3594" max="3840" width="9" style="18"/>
    <col min="3841" max="3841" width="9.86328125" style="18" customWidth="1"/>
    <col min="3842" max="3842" width="2" style="18" customWidth="1"/>
    <col min="3843" max="3843" width="12.53125" style="18" customWidth="1"/>
    <col min="3844" max="3844" width="1.86328125" style="18" customWidth="1"/>
    <col min="3845" max="3845" width="2" style="18" customWidth="1"/>
    <col min="3846" max="3846" width="16" style="18" customWidth="1"/>
    <col min="3847" max="3847" width="26" style="18" customWidth="1"/>
    <col min="3848" max="3848" width="9" style="18"/>
    <col min="3849" max="3849" width="9" style="18" customWidth="1"/>
    <col min="3850" max="4096" width="9" style="18"/>
    <col min="4097" max="4097" width="9.86328125" style="18" customWidth="1"/>
    <col min="4098" max="4098" width="2" style="18" customWidth="1"/>
    <col min="4099" max="4099" width="12.53125" style="18" customWidth="1"/>
    <col min="4100" max="4100" width="1.86328125" style="18" customWidth="1"/>
    <col min="4101" max="4101" width="2" style="18" customWidth="1"/>
    <col min="4102" max="4102" width="16" style="18" customWidth="1"/>
    <col min="4103" max="4103" width="26" style="18" customWidth="1"/>
    <col min="4104" max="4104" width="9" style="18"/>
    <col min="4105" max="4105" width="9" style="18" customWidth="1"/>
    <col min="4106" max="4352" width="9" style="18"/>
    <col min="4353" max="4353" width="9.86328125" style="18" customWidth="1"/>
    <col min="4354" max="4354" width="2" style="18" customWidth="1"/>
    <col min="4355" max="4355" width="12.53125" style="18" customWidth="1"/>
    <col min="4356" max="4356" width="1.86328125" style="18" customWidth="1"/>
    <col min="4357" max="4357" width="2" style="18" customWidth="1"/>
    <col min="4358" max="4358" width="16" style="18" customWidth="1"/>
    <col min="4359" max="4359" width="26" style="18" customWidth="1"/>
    <col min="4360" max="4360" width="9" style="18"/>
    <col min="4361" max="4361" width="9" style="18" customWidth="1"/>
    <col min="4362" max="4608" width="9" style="18"/>
    <col min="4609" max="4609" width="9.86328125" style="18" customWidth="1"/>
    <col min="4610" max="4610" width="2" style="18" customWidth="1"/>
    <col min="4611" max="4611" width="12.53125" style="18" customWidth="1"/>
    <col min="4612" max="4612" width="1.86328125" style="18" customWidth="1"/>
    <col min="4613" max="4613" width="2" style="18" customWidth="1"/>
    <col min="4614" max="4614" width="16" style="18" customWidth="1"/>
    <col min="4615" max="4615" width="26" style="18" customWidth="1"/>
    <col min="4616" max="4616" width="9" style="18"/>
    <col min="4617" max="4617" width="9" style="18" customWidth="1"/>
    <col min="4618" max="4864" width="9" style="18"/>
    <col min="4865" max="4865" width="9.86328125" style="18" customWidth="1"/>
    <col min="4866" max="4866" width="2" style="18" customWidth="1"/>
    <col min="4867" max="4867" width="12.53125" style="18" customWidth="1"/>
    <col min="4868" max="4868" width="1.86328125" style="18" customWidth="1"/>
    <col min="4869" max="4869" width="2" style="18" customWidth="1"/>
    <col min="4870" max="4870" width="16" style="18" customWidth="1"/>
    <col min="4871" max="4871" width="26" style="18" customWidth="1"/>
    <col min="4872" max="4872" width="9" style="18"/>
    <col min="4873" max="4873" width="9" style="18" customWidth="1"/>
    <col min="4874" max="5120" width="9" style="18"/>
    <col min="5121" max="5121" width="9.86328125" style="18" customWidth="1"/>
    <col min="5122" max="5122" width="2" style="18" customWidth="1"/>
    <col min="5123" max="5123" width="12.53125" style="18" customWidth="1"/>
    <col min="5124" max="5124" width="1.86328125" style="18" customWidth="1"/>
    <col min="5125" max="5125" width="2" style="18" customWidth="1"/>
    <col min="5126" max="5126" width="16" style="18" customWidth="1"/>
    <col min="5127" max="5127" width="26" style="18" customWidth="1"/>
    <col min="5128" max="5128" width="9" style="18"/>
    <col min="5129" max="5129" width="9" style="18" customWidth="1"/>
    <col min="5130" max="5376" width="9" style="18"/>
    <col min="5377" max="5377" width="9.86328125" style="18" customWidth="1"/>
    <col min="5378" max="5378" width="2" style="18" customWidth="1"/>
    <col min="5379" max="5379" width="12.53125" style="18" customWidth="1"/>
    <col min="5380" max="5380" width="1.86328125" style="18" customWidth="1"/>
    <col min="5381" max="5381" width="2" style="18" customWidth="1"/>
    <col min="5382" max="5382" width="16" style="18" customWidth="1"/>
    <col min="5383" max="5383" width="26" style="18" customWidth="1"/>
    <col min="5384" max="5384" width="9" style="18"/>
    <col min="5385" max="5385" width="9" style="18" customWidth="1"/>
    <col min="5386" max="5632" width="9" style="18"/>
    <col min="5633" max="5633" width="9.86328125" style="18" customWidth="1"/>
    <col min="5634" max="5634" width="2" style="18" customWidth="1"/>
    <col min="5635" max="5635" width="12.53125" style="18" customWidth="1"/>
    <col min="5636" max="5636" width="1.86328125" style="18" customWidth="1"/>
    <col min="5637" max="5637" width="2" style="18" customWidth="1"/>
    <col min="5638" max="5638" width="16" style="18" customWidth="1"/>
    <col min="5639" max="5639" width="26" style="18" customWidth="1"/>
    <col min="5640" max="5640" width="9" style="18"/>
    <col min="5641" max="5641" width="9" style="18" customWidth="1"/>
    <col min="5642" max="5888" width="9" style="18"/>
    <col min="5889" max="5889" width="9.86328125" style="18" customWidth="1"/>
    <col min="5890" max="5890" width="2" style="18" customWidth="1"/>
    <col min="5891" max="5891" width="12.53125" style="18" customWidth="1"/>
    <col min="5892" max="5892" width="1.86328125" style="18" customWidth="1"/>
    <col min="5893" max="5893" width="2" style="18" customWidth="1"/>
    <col min="5894" max="5894" width="16" style="18" customWidth="1"/>
    <col min="5895" max="5895" width="26" style="18" customWidth="1"/>
    <col min="5896" max="5896" width="9" style="18"/>
    <col min="5897" max="5897" width="9" style="18" customWidth="1"/>
    <col min="5898" max="6144" width="9" style="18"/>
    <col min="6145" max="6145" width="9.86328125" style="18" customWidth="1"/>
    <col min="6146" max="6146" width="2" style="18" customWidth="1"/>
    <col min="6147" max="6147" width="12.53125" style="18" customWidth="1"/>
    <col min="6148" max="6148" width="1.86328125" style="18" customWidth="1"/>
    <col min="6149" max="6149" width="2" style="18" customWidth="1"/>
    <col min="6150" max="6150" width="16" style="18" customWidth="1"/>
    <col min="6151" max="6151" width="26" style="18" customWidth="1"/>
    <col min="6152" max="6152" width="9" style="18"/>
    <col min="6153" max="6153" width="9" style="18" customWidth="1"/>
    <col min="6154" max="6400" width="9" style="18"/>
    <col min="6401" max="6401" width="9.86328125" style="18" customWidth="1"/>
    <col min="6402" max="6402" width="2" style="18" customWidth="1"/>
    <col min="6403" max="6403" width="12.53125" style="18" customWidth="1"/>
    <col min="6404" max="6404" width="1.86328125" style="18" customWidth="1"/>
    <col min="6405" max="6405" width="2" style="18" customWidth="1"/>
    <col min="6406" max="6406" width="16" style="18" customWidth="1"/>
    <col min="6407" max="6407" width="26" style="18" customWidth="1"/>
    <col min="6408" max="6408" width="9" style="18"/>
    <col min="6409" max="6409" width="9" style="18" customWidth="1"/>
    <col min="6410" max="6656" width="9" style="18"/>
    <col min="6657" max="6657" width="9.86328125" style="18" customWidth="1"/>
    <col min="6658" max="6658" width="2" style="18" customWidth="1"/>
    <col min="6659" max="6659" width="12.53125" style="18" customWidth="1"/>
    <col min="6660" max="6660" width="1.86328125" style="18" customWidth="1"/>
    <col min="6661" max="6661" width="2" style="18" customWidth="1"/>
    <col min="6662" max="6662" width="16" style="18" customWidth="1"/>
    <col min="6663" max="6663" width="26" style="18" customWidth="1"/>
    <col min="6664" max="6664" width="9" style="18"/>
    <col min="6665" max="6665" width="9" style="18" customWidth="1"/>
    <col min="6666" max="6912" width="9" style="18"/>
    <col min="6913" max="6913" width="9.86328125" style="18" customWidth="1"/>
    <col min="6914" max="6914" width="2" style="18" customWidth="1"/>
    <col min="6915" max="6915" width="12.53125" style="18" customWidth="1"/>
    <col min="6916" max="6916" width="1.86328125" style="18" customWidth="1"/>
    <col min="6917" max="6917" width="2" style="18" customWidth="1"/>
    <col min="6918" max="6918" width="16" style="18" customWidth="1"/>
    <col min="6919" max="6919" width="26" style="18" customWidth="1"/>
    <col min="6920" max="6920" width="9" style="18"/>
    <col min="6921" max="6921" width="9" style="18" customWidth="1"/>
    <col min="6922" max="7168" width="9" style="18"/>
    <col min="7169" max="7169" width="9.86328125" style="18" customWidth="1"/>
    <col min="7170" max="7170" width="2" style="18" customWidth="1"/>
    <col min="7171" max="7171" width="12.53125" style="18" customWidth="1"/>
    <col min="7172" max="7172" width="1.86328125" style="18" customWidth="1"/>
    <col min="7173" max="7173" width="2" style="18" customWidth="1"/>
    <col min="7174" max="7174" width="16" style="18" customWidth="1"/>
    <col min="7175" max="7175" width="26" style="18" customWidth="1"/>
    <col min="7176" max="7176" width="9" style="18"/>
    <col min="7177" max="7177" width="9" style="18" customWidth="1"/>
    <col min="7178" max="7424" width="9" style="18"/>
    <col min="7425" max="7425" width="9.86328125" style="18" customWidth="1"/>
    <col min="7426" max="7426" width="2" style="18" customWidth="1"/>
    <col min="7427" max="7427" width="12.53125" style="18" customWidth="1"/>
    <col min="7428" max="7428" width="1.86328125" style="18" customWidth="1"/>
    <col min="7429" max="7429" width="2" style="18" customWidth="1"/>
    <col min="7430" max="7430" width="16" style="18" customWidth="1"/>
    <col min="7431" max="7431" width="26" style="18" customWidth="1"/>
    <col min="7432" max="7432" width="9" style="18"/>
    <col min="7433" max="7433" width="9" style="18" customWidth="1"/>
    <col min="7434" max="7680" width="9" style="18"/>
    <col min="7681" max="7681" width="9.86328125" style="18" customWidth="1"/>
    <col min="7682" max="7682" width="2" style="18" customWidth="1"/>
    <col min="7683" max="7683" width="12.53125" style="18" customWidth="1"/>
    <col min="7684" max="7684" width="1.86328125" style="18" customWidth="1"/>
    <col min="7685" max="7685" width="2" style="18" customWidth="1"/>
    <col min="7686" max="7686" width="16" style="18" customWidth="1"/>
    <col min="7687" max="7687" width="26" style="18" customWidth="1"/>
    <col min="7688" max="7688" width="9" style="18"/>
    <col min="7689" max="7689" width="9" style="18" customWidth="1"/>
    <col min="7690" max="7936" width="9" style="18"/>
    <col min="7937" max="7937" width="9.86328125" style="18" customWidth="1"/>
    <col min="7938" max="7938" width="2" style="18" customWidth="1"/>
    <col min="7939" max="7939" width="12.53125" style="18" customWidth="1"/>
    <col min="7940" max="7940" width="1.86328125" style="18" customWidth="1"/>
    <col min="7941" max="7941" width="2" style="18" customWidth="1"/>
    <col min="7942" max="7942" width="16" style="18" customWidth="1"/>
    <col min="7943" max="7943" width="26" style="18" customWidth="1"/>
    <col min="7944" max="7944" width="9" style="18"/>
    <col min="7945" max="7945" width="9" style="18" customWidth="1"/>
    <col min="7946" max="8192" width="9" style="18"/>
    <col min="8193" max="8193" width="9.86328125" style="18" customWidth="1"/>
    <col min="8194" max="8194" width="2" style="18" customWidth="1"/>
    <col min="8195" max="8195" width="12.53125" style="18" customWidth="1"/>
    <col min="8196" max="8196" width="1.86328125" style="18" customWidth="1"/>
    <col min="8197" max="8197" width="2" style="18" customWidth="1"/>
    <col min="8198" max="8198" width="16" style="18" customWidth="1"/>
    <col min="8199" max="8199" width="26" style="18" customWidth="1"/>
    <col min="8200" max="8200" width="9" style="18"/>
    <col min="8201" max="8201" width="9" style="18" customWidth="1"/>
    <col min="8202" max="8448" width="9" style="18"/>
    <col min="8449" max="8449" width="9.86328125" style="18" customWidth="1"/>
    <col min="8450" max="8450" width="2" style="18" customWidth="1"/>
    <col min="8451" max="8451" width="12.53125" style="18" customWidth="1"/>
    <col min="8452" max="8452" width="1.86328125" style="18" customWidth="1"/>
    <col min="8453" max="8453" width="2" style="18" customWidth="1"/>
    <col min="8454" max="8454" width="16" style="18" customWidth="1"/>
    <col min="8455" max="8455" width="26" style="18" customWidth="1"/>
    <col min="8456" max="8456" width="9" style="18"/>
    <col min="8457" max="8457" width="9" style="18" customWidth="1"/>
    <col min="8458" max="8704" width="9" style="18"/>
    <col min="8705" max="8705" width="9.86328125" style="18" customWidth="1"/>
    <col min="8706" max="8706" width="2" style="18" customWidth="1"/>
    <col min="8707" max="8707" width="12.53125" style="18" customWidth="1"/>
    <col min="8708" max="8708" width="1.86328125" style="18" customWidth="1"/>
    <col min="8709" max="8709" width="2" style="18" customWidth="1"/>
    <col min="8710" max="8710" width="16" style="18" customWidth="1"/>
    <col min="8711" max="8711" width="26" style="18" customWidth="1"/>
    <col min="8712" max="8712" width="9" style="18"/>
    <col min="8713" max="8713" width="9" style="18" customWidth="1"/>
    <col min="8714" max="8960" width="9" style="18"/>
    <col min="8961" max="8961" width="9.86328125" style="18" customWidth="1"/>
    <col min="8962" max="8962" width="2" style="18" customWidth="1"/>
    <col min="8963" max="8963" width="12.53125" style="18" customWidth="1"/>
    <col min="8964" max="8964" width="1.86328125" style="18" customWidth="1"/>
    <col min="8965" max="8965" width="2" style="18" customWidth="1"/>
    <col min="8966" max="8966" width="16" style="18" customWidth="1"/>
    <col min="8967" max="8967" width="26" style="18" customWidth="1"/>
    <col min="8968" max="8968" width="9" style="18"/>
    <col min="8969" max="8969" width="9" style="18" customWidth="1"/>
    <col min="8970" max="9216" width="9" style="18"/>
    <col min="9217" max="9217" width="9.86328125" style="18" customWidth="1"/>
    <col min="9218" max="9218" width="2" style="18" customWidth="1"/>
    <col min="9219" max="9219" width="12.53125" style="18" customWidth="1"/>
    <col min="9220" max="9220" width="1.86328125" style="18" customWidth="1"/>
    <col min="9221" max="9221" width="2" style="18" customWidth="1"/>
    <col min="9222" max="9222" width="16" style="18" customWidth="1"/>
    <col min="9223" max="9223" width="26" style="18" customWidth="1"/>
    <col min="9224" max="9224" width="9" style="18"/>
    <col min="9225" max="9225" width="9" style="18" customWidth="1"/>
    <col min="9226" max="9472" width="9" style="18"/>
    <col min="9473" max="9473" width="9.86328125" style="18" customWidth="1"/>
    <col min="9474" max="9474" width="2" style="18" customWidth="1"/>
    <col min="9475" max="9475" width="12.53125" style="18" customWidth="1"/>
    <col min="9476" max="9476" width="1.86328125" style="18" customWidth="1"/>
    <col min="9477" max="9477" width="2" style="18" customWidth="1"/>
    <col min="9478" max="9478" width="16" style="18" customWidth="1"/>
    <col min="9479" max="9479" width="26" style="18" customWidth="1"/>
    <col min="9480" max="9480" width="9" style="18"/>
    <col min="9481" max="9481" width="9" style="18" customWidth="1"/>
    <col min="9482" max="9728" width="9" style="18"/>
    <col min="9729" max="9729" width="9.86328125" style="18" customWidth="1"/>
    <col min="9730" max="9730" width="2" style="18" customWidth="1"/>
    <col min="9731" max="9731" width="12.53125" style="18" customWidth="1"/>
    <col min="9732" max="9732" width="1.86328125" style="18" customWidth="1"/>
    <col min="9733" max="9733" width="2" style="18" customWidth="1"/>
    <col min="9734" max="9734" width="16" style="18" customWidth="1"/>
    <col min="9735" max="9735" width="26" style="18" customWidth="1"/>
    <col min="9736" max="9736" width="9" style="18"/>
    <col min="9737" max="9737" width="9" style="18" customWidth="1"/>
    <col min="9738" max="9984" width="9" style="18"/>
    <col min="9985" max="9985" width="9.86328125" style="18" customWidth="1"/>
    <col min="9986" max="9986" width="2" style="18" customWidth="1"/>
    <col min="9987" max="9987" width="12.53125" style="18" customWidth="1"/>
    <col min="9988" max="9988" width="1.86328125" style="18" customWidth="1"/>
    <col min="9989" max="9989" width="2" style="18" customWidth="1"/>
    <col min="9990" max="9990" width="16" style="18" customWidth="1"/>
    <col min="9991" max="9991" width="26" style="18" customWidth="1"/>
    <col min="9992" max="9992" width="9" style="18"/>
    <col min="9993" max="9993" width="9" style="18" customWidth="1"/>
    <col min="9994" max="10240" width="9" style="18"/>
    <col min="10241" max="10241" width="9.86328125" style="18" customWidth="1"/>
    <col min="10242" max="10242" width="2" style="18" customWidth="1"/>
    <col min="10243" max="10243" width="12.53125" style="18" customWidth="1"/>
    <col min="10244" max="10244" width="1.86328125" style="18" customWidth="1"/>
    <col min="10245" max="10245" width="2" style="18" customWidth="1"/>
    <col min="10246" max="10246" width="16" style="18" customWidth="1"/>
    <col min="10247" max="10247" width="26" style="18" customWidth="1"/>
    <col min="10248" max="10248" width="9" style="18"/>
    <col min="10249" max="10249" width="9" style="18" customWidth="1"/>
    <col min="10250" max="10496" width="9" style="18"/>
    <col min="10497" max="10497" width="9.86328125" style="18" customWidth="1"/>
    <col min="10498" max="10498" width="2" style="18" customWidth="1"/>
    <col min="10499" max="10499" width="12.53125" style="18" customWidth="1"/>
    <col min="10500" max="10500" width="1.86328125" style="18" customWidth="1"/>
    <col min="10501" max="10501" width="2" style="18" customWidth="1"/>
    <col min="10502" max="10502" width="16" style="18" customWidth="1"/>
    <col min="10503" max="10503" width="26" style="18" customWidth="1"/>
    <col min="10504" max="10504" width="9" style="18"/>
    <col min="10505" max="10505" width="9" style="18" customWidth="1"/>
    <col min="10506" max="10752" width="9" style="18"/>
    <col min="10753" max="10753" width="9.86328125" style="18" customWidth="1"/>
    <col min="10754" max="10754" width="2" style="18" customWidth="1"/>
    <col min="10755" max="10755" width="12.53125" style="18" customWidth="1"/>
    <col min="10756" max="10756" width="1.86328125" style="18" customWidth="1"/>
    <col min="10757" max="10757" width="2" style="18" customWidth="1"/>
    <col min="10758" max="10758" width="16" style="18" customWidth="1"/>
    <col min="10759" max="10759" width="26" style="18" customWidth="1"/>
    <col min="10760" max="10760" width="9" style="18"/>
    <col min="10761" max="10761" width="9" style="18" customWidth="1"/>
    <col min="10762" max="11008" width="9" style="18"/>
    <col min="11009" max="11009" width="9.86328125" style="18" customWidth="1"/>
    <col min="11010" max="11010" width="2" style="18" customWidth="1"/>
    <col min="11011" max="11011" width="12.53125" style="18" customWidth="1"/>
    <col min="11012" max="11012" width="1.86328125" style="18" customWidth="1"/>
    <col min="11013" max="11013" width="2" style="18" customWidth="1"/>
    <col min="11014" max="11014" width="16" style="18" customWidth="1"/>
    <col min="11015" max="11015" width="26" style="18" customWidth="1"/>
    <col min="11016" max="11016" width="9" style="18"/>
    <col min="11017" max="11017" width="9" style="18" customWidth="1"/>
    <col min="11018" max="11264" width="9" style="18"/>
    <col min="11265" max="11265" width="9.86328125" style="18" customWidth="1"/>
    <col min="11266" max="11266" width="2" style="18" customWidth="1"/>
    <col min="11267" max="11267" width="12.53125" style="18" customWidth="1"/>
    <col min="11268" max="11268" width="1.86328125" style="18" customWidth="1"/>
    <col min="11269" max="11269" width="2" style="18" customWidth="1"/>
    <col min="11270" max="11270" width="16" style="18" customWidth="1"/>
    <col min="11271" max="11271" width="26" style="18" customWidth="1"/>
    <col min="11272" max="11272" width="9" style="18"/>
    <col min="11273" max="11273" width="9" style="18" customWidth="1"/>
    <col min="11274" max="11520" width="9" style="18"/>
    <col min="11521" max="11521" width="9.86328125" style="18" customWidth="1"/>
    <col min="11522" max="11522" width="2" style="18" customWidth="1"/>
    <col min="11523" max="11523" width="12.53125" style="18" customWidth="1"/>
    <col min="11524" max="11524" width="1.86328125" style="18" customWidth="1"/>
    <col min="11525" max="11525" width="2" style="18" customWidth="1"/>
    <col min="11526" max="11526" width="16" style="18" customWidth="1"/>
    <col min="11527" max="11527" width="26" style="18" customWidth="1"/>
    <col min="11528" max="11528" width="9" style="18"/>
    <col min="11529" max="11529" width="9" style="18" customWidth="1"/>
    <col min="11530" max="11776" width="9" style="18"/>
    <col min="11777" max="11777" width="9.86328125" style="18" customWidth="1"/>
    <col min="11778" max="11778" width="2" style="18" customWidth="1"/>
    <col min="11779" max="11779" width="12.53125" style="18" customWidth="1"/>
    <col min="11780" max="11780" width="1.86328125" style="18" customWidth="1"/>
    <col min="11781" max="11781" width="2" style="18" customWidth="1"/>
    <col min="11782" max="11782" width="16" style="18" customWidth="1"/>
    <col min="11783" max="11783" width="26" style="18" customWidth="1"/>
    <col min="11784" max="11784" width="9" style="18"/>
    <col min="11785" max="11785" width="9" style="18" customWidth="1"/>
    <col min="11786" max="12032" width="9" style="18"/>
    <col min="12033" max="12033" width="9.86328125" style="18" customWidth="1"/>
    <col min="12034" max="12034" width="2" style="18" customWidth="1"/>
    <col min="12035" max="12035" width="12.53125" style="18" customWidth="1"/>
    <col min="12036" max="12036" width="1.86328125" style="18" customWidth="1"/>
    <col min="12037" max="12037" width="2" style="18" customWidth="1"/>
    <col min="12038" max="12038" width="16" style="18" customWidth="1"/>
    <col min="12039" max="12039" width="26" style="18" customWidth="1"/>
    <col min="12040" max="12040" width="9" style="18"/>
    <col min="12041" max="12041" width="9" style="18" customWidth="1"/>
    <col min="12042" max="12288" width="9" style="18"/>
    <col min="12289" max="12289" width="9.86328125" style="18" customWidth="1"/>
    <col min="12290" max="12290" width="2" style="18" customWidth="1"/>
    <col min="12291" max="12291" width="12.53125" style="18" customWidth="1"/>
    <col min="12292" max="12292" width="1.86328125" style="18" customWidth="1"/>
    <col min="12293" max="12293" width="2" style="18" customWidth="1"/>
    <col min="12294" max="12294" width="16" style="18" customWidth="1"/>
    <col min="12295" max="12295" width="26" style="18" customWidth="1"/>
    <col min="12296" max="12296" width="9" style="18"/>
    <col min="12297" max="12297" width="9" style="18" customWidth="1"/>
    <col min="12298" max="12544" width="9" style="18"/>
    <col min="12545" max="12545" width="9.86328125" style="18" customWidth="1"/>
    <col min="12546" max="12546" width="2" style="18" customWidth="1"/>
    <col min="12547" max="12547" width="12.53125" style="18" customWidth="1"/>
    <col min="12548" max="12548" width="1.86328125" style="18" customWidth="1"/>
    <col min="12549" max="12549" width="2" style="18" customWidth="1"/>
    <col min="12550" max="12550" width="16" style="18" customWidth="1"/>
    <col min="12551" max="12551" width="26" style="18" customWidth="1"/>
    <col min="12552" max="12552" width="9" style="18"/>
    <col min="12553" max="12553" width="9" style="18" customWidth="1"/>
    <col min="12554" max="12800" width="9" style="18"/>
    <col min="12801" max="12801" width="9.86328125" style="18" customWidth="1"/>
    <col min="12802" max="12802" width="2" style="18" customWidth="1"/>
    <col min="12803" max="12803" width="12.53125" style="18" customWidth="1"/>
    <col min="12804" max="12804" width="1.86328125" style="18" customWidth="1"/>
    <col min="12805" max="12805" width="2" style="18" customWidth="1"/>
    <col min="12806" max="12806" width="16" style="18" customWidth="1"/>
    <col min="12807" max="12807" width="26" style="18" customWidth="1"/>
    <col min="12808" max="12808" width="9" style="18"/>
    <col min="12809" max="12809" width="9" style="18" customWidth="1"/>
    <col min="12810" max="13056" width="9" style="18"/>
    <col min="13057" max="13057" width="9.86328125" style="18" customWidth="1"/>
    <col min="13058" max="13058" width="2" style="18" customWidth="1"/>
    <col min="13059" max="13059" width="12.53125" style="18" customWidth="1"/>
    <col min="13060" max="13060" width="1.86328125" style="18" customWidth="1"/>
    <col min="13061" max="13061" width="2" style="18" customWidth="1"/>
    <col min="13062" max="13062" width="16" style="18" customWidth="1"/>
    <col min="13063" max="13063" width="26" style="18" customWidth="1"/>
    <col min="13064" max="13064" width="9" style="18"/>
    <col min="13065" max="13065" width="9" style="18" customWidth="1"/>
    <col min="13066" max="13312" width="9" style="18"/>
    <col min="13313" max="13313" width="9.86328125" style="18" customWidth="1"/>
    <col min="13314" max="13314" width="2" style="18" customWidth="1"/>
    <col min="13315" max="13315" width="12.53125" style="18" customWidth="1"/>
    <col min="13316" max="13316" width="1.86328125" style="18" customWidth="1"/>
    <col min="13317" max="13317" width="2" style="18" customWidth="1"/>
    <col min="13318" max="13318" width="16" style="18" customWidth="1"/>
    <col min="13319" max="13319" width="26" style="18" customWidth="1"/>
    <col min="13320" max="13320" width="9" style="18"/>
    <col min="13321" max="13321" width="9" style="18" customWidth="1"/>
    <col min="13322" max="13568" width="9" style="18"/>
    <col min="13569" max="13569" width="9.86328125" style="18" customWidth="1"/>
    <col min="13570" max="13570" width="2" style="18" customWidth="1"/>
    <col min="13571" max="13571" width="12.53125" style="18" customWidth="1"/>
    <col min="13572" max="13572" width="1.86328125" style="18" customWidth="1"/>
    <col min="13573" max="13573" width="2" style="18" customWidth="1"/>
    <col min="13574" max="13574" width="16" style="18" customWidth="1"/>
    <col min="13575" max="13575" width="26" style="18" customWidth="1"/>
    <col min="13576" max="13576" width="9" style="18"/>
    <col min="13577" max="13577" width="9" style="18" customWidth="1"/>
    <col min="13578" max="13824" width="9" style="18"/>
    <col min="13825" max="13825" width="9.86328125" style="18" customWidth="1"/>
    <col min="13826" max="13826" width="2" style="18" customWidth="1"/>
    <col min="13827" max="13827" width="12.53125" style="18" customWidth="1"/>
    <col min="13828" max="13828" width="1.86328125" style="18" customWidth="1"/>
    <col min="13829" max="13829" width="2" style="18" customWidth="1"/>
    <col min="13830" max="13830" width="16" style="18" customWidth="1"/>
    <col min="13831" max="13831" width="26" style="18" customWidth="1"/>
    <col min="13832" max="13832" width="9" style="18"/>
    <col min="13833" max="13833" width="9" style="18" customWidth="1"/>
    <col min="13834" max="14080" width="9" style="18"/>
    <col min="14081" max="14081" width="9.86328125" style="18" customWidth="1"/>
    <col min="14082" max="14082" width="2" style="18" customWidth="1"/>
    <col min="14083" max="14083" width="12.53125" style="18" customWidth="1"/>
    <col min="14084" max="14084" width="1.86328125" style="18" customWidth="1"/>
    <col min="14085" max="14085" width="2" style="18" customWidth="1"/>
    <col min="14086" max="14086" width="16" style="18" customWidth="1"/>
    <col min="14087" max="14087" width="26" style="18" customWidth="1"/>
    <col min="14088" max="14088" width="9" style="18"/>
    <col min="14089" max="14089" width="9" style="18" customWidth="1"/>
    <col min="14090" max="14336" width="9" style="18"/>
    <col min="14337" max="14337" width="9.86328125" style="18" customWidth="1"/>
    <col min="14338" max="14338" width="2" style="18" customWidth="1"/>
    <col min="14339" max="14339" width="12.53125" style="18" customWidth="1"/>
    <col min="14340" max="14340" width="1.86328125" style="18" customWidth="1"/>
    <col min="14341" max="14341" width="2" style="18" customWidth="1"/>
    <col min="14342" max="14342" width="16" style="18" customWidth="1"/>
    <col min="14343" max="14343" width="26" style="18" customWidth="1"/>
    <col min="14344" max="14344" width="9" style="18"/>
    <col min="14345" max="14345" width="9" style="18" customWidth="1"/>
    <col min="14346" max="14592" width="9" style="18"/>
    <col min="14593" max="14593" width="9.86328125" style="18" customWidth="1"/>
    <col min="14594" max="14594" width="2" style="18" customWidth="1"/>
    <col min="14595" max="14595" width="12.53125" style="18" customWidth="1"/>
    <col min="14596" max="14596" width="1.86328125" style="18" customWidth="1"/>
    <col min="14597" max="14597" width="2" style="18" customWidth="1"/>
    <col min="14598" max="14598" width="16" style="18" customWidth="1"/>
    <col min="14599" max="14599" width="26" style="18" customWidth="1"/>
    <col min="14600" max="14600" width="9" style="18"/>
    <col min="14601" max="14601" width="9" style="18" customWidth="1"/>
    <col min="14602" max="14848" width="9" style="18"/>
    <col min="14849" max="14849" width="9.86328125" style="18" customWidth="1"/>
    <col min="14850" max="14850" width="2" style="18" customWidth="1"/>
    <col min="14851" max="14851" width="12.53125" style="18" customWidth="1"/>
    <col min="14852" max="14852" width="1.86328125" style="18" customWidth="1"/>
    <col min="14853" max="14853" width="2" style="18" customWidth="1"/>
    <col min="14854" max="14854" width="16" style="18" customWidth="1"/>
    <col min="14855" max="14855" width="26" style="18" customWidth="1"/>
    <col min="14856" max="14856" width="9" style="18"/>
    <col min="14857" max="14857" width="9" style="18" customWidth="1"/>
    <col min="14858" max="15104" width="9" style="18"/>
    <col min="15105" max="15105" width="9.86328125" style="18" customWidth="1"/>
    <col min="15106" max="15106" width="2" style="18" customWidth="1"/>
    <col min="15107" max="15107" width="12.53125" style="18" customWidth="1"/>
    <col min="15108" max="15108" width="1.86328125" style="18" customWidth="1"/>
    <col min="15109" max="15109" width="2" style="18" customWidth="1"/>
    <col min="15110" max="15110" width="16" style="18" customWidth="1"/>
    <col min="15111" max="15111" width="26" style="18" customWidth="1"/>
    <col min="15112" max="15112" width="9" style="18"/>
    <col min="15113" max="15113" width="9" style="18" customWidth="1"/>
    <col min="15114" max="15360" width="9" style="18"/>
    <col min="15361" max="15361" width="9.86328125" style="18" customWidth="1"/>
    <col min="15362" max="15362" width="2" style="18" customWidth="1"/>
    <col min="15363" max="15363" width="12.53125" style="18" customWidth="1"/>
    <col min="15364" max="15364" width="1.86328125" style="18" customWidth="1"/>
    <col min="15365" max="15365" width="2" style="18" customWidth="1"/>
    <col min="15366" max="15366" width="16" style="18" customWidth="1"/>
    <col min="15367" max="15367" width="26" style="18" customWidth="1"/>
    <col min="15368" max="15368" width="9" style="18"/>
    <col min="15369" max="15369" width="9" style="18" customWidth="1"/>
    <col min="15370" max="15616" width="9" style="18"/>
    <col min="15617" max="15617" width="9.86328125" style="18" customWidth="1"/>
    <col min="15618" max="15618" width="2" style="18" customWidth="1"/>
    <col min="15619" max="15619" width="12.53125" style="18" customWidth="1"/>
    <col min="15620" max="15620" width="1.86328125" style="18" customWidth="1"/>
    <col min="15621" max="15621" width="2" style="18" customWidth="1"/>
    <col min="15622" max="15622" width="16" style="18" customWidth="1"/>
    <col min="15623" max="15623" width="26" style="18" customWidth="1"/>
    <col min="15624" max="15624" width="9" style="18"/>
    <col min="15625" max="15625" width="9" style="18" customWidth="1"/>
    <col min="15626" max="15872" width="9" style="18"/>
    <col min="15873" max="15873" width="9.86328125" style="18" customWidth="1"/>
    <col min="15874" max="15874" width="2" style="18" customWidth="1"/>
    <col min="15875" max="15875" width="12.53125" style="18" customWidth="1"/>
    <col min="15876" max="15876" width="1.86328125" style="18" customWidth="1"/>
    <col min="15877" max="15877" width="2" style="18" customWidth="1"/>
    <col min="15878" max="15878" width="16" style="18" customWidth="1"/>
    <col min="15879" max="15879" width="26" style="18" customWidth="1"/>
    <col min="15880" max="15880" width="9" style="18"/>
    <col min="15881" max="15881" width="9" style="18" customWidth="1"/>
    <col min="15882" max="16128" width="9" style="18"/>
    <col min="16129" max="16129" width="9.86328125" style="18" customWidth="1"/>
    <col min="16130" max="16130" width="2" style="18" customWidth="1"/>
    <col min="16131" max="16131" width="12.53125" style="18" customWidth="1"/>
    <col min="16132" max="16132" width="1.86328125" style="18" customWidth="1"/>
    <col min="16133" max="16133" width="2" style="18" customWidth="1"/>
    <col min="16134" max="16134" width="16" style="18" customWidth="1"/>
    <col min="16135" max="16135" width="26" style="18" customWidth="1"/>
    <col min="16136" max="16136" width="9" style="18"/>
    <col min="16137" max="16137" width="9" style="18" customWidth="1"/>
    <col min="16138" max="16384" width="9" style="18"/>
  </cols>
  <sheetData>
    <row r="1" spans="1:11" ht="17.25">
      <c r="D1" s="866" t="str">
        <f>UPPER(opd_pem)</f>
        <v>PEMERINTAH PROVINSI NUSA TENGGARA BARAT</v>
      </c>
      <c r="E1" s="866"/>
      <c r="F1" s="866"/>
      <c r="G1" s="866"/>
      <c r="H1" s="866"/>
      <c r="I1" s="866"/>
    </row>
    <row r="2" spans="1:11" ht="47.1" customHeight="1">
      <c r="D2" s="934" t="str">
        <f>UPPER(ukpbj)</f>
        <v>BADAN PENGELOLAAN KEUANGAN DAN ASET DAERAH</v>
      </c>
      <c r="E2" s="934"/>
      <c r="F2" s="934"/>
      <c r="G2" s="934"/>
      <c r="H2" s="934"/>
      <c r="I2" s="934"/>
    </row>
    <row r="3" spans="1:11" ht="17.850000000000001" customHeight="1">
      <c r="A3" s="24"/>
      <c r="B3" s="24"/>
      <c r="C3" s="24"/>
      <c r="D3" s="868" t="str">
        <f>ukpbj_almt</f>
        <v>Jalan Pejanggik Nomor 14 Telp.( 0370 ) 627689, 625345 Fax: 627677</v>
      </c>
      <c r="E3" s="868"/>
      <c r="F3" s="868"/>
      <c r="G3" s="868"/>
      <c r="H3" s="868"/>
      <c r="I3" s="868"/>
    </row>
    <row r="4" spans="1:11" ht="5.25" customHeight="1"/>
    <row r="5" spans="1:11" ht="5.25" customHeight="1"/>
    <row r="6" spans="1:11" ht="18">
      <c r="A6" s="899" t="s">
        <v>1100</v>
      </c>
      <c r="B6" s="899"/>
      <c r="C6" s="899"/>
      <c r="D6" s="899"/>
      <c r="E6" s="899"/>
      <c r="F6" s="899"/>
      <c r="G6" s="899"/>
      <c r="H6" s="899"/>
      <c r="I6" s="899"/>
      <c r="J6" s="899"/>
    </row>
    <row r="7" spans="1:11">
      <c r="A7" s="1153" t="str">
        <f>paket</f>
        <v>Belanja Pemeliharaan Bangunan Gedung-Bangunan Gedung Tempat Kerja-Bangunan Gedung Kantor-Pemeliharaan Gedung Bertingkat</v>
      </c>
      <c r="B7" s="1153"/>
      <c r="C7" s="1153"/>
      <c r="D7" s="1153"/>
      <c r="E7" s="1153"/>
      <c r="F7" s="1153"/>
      <c r="G7" s="1153"/>
      <c r="H7" s="1153"/>
      <c r="I7" s="1153"/>
      <c r="J7" s="1153"/>
    </row>
    <row r="8" spans="1:11">
      <c r="A8" s="1153" t="str">
        <f>opd_nama</f>
        <v>Badan Pengelolaan Keuangan dan Aset Daerah</v>
      </c>
      <c r="B8" s="1153"/>
      <c r="C8" s="1153"/>
      <c r="D8" s="1153"/>
      <c r="E8" s="1153"/>
      <c r="F8" s="1153"/>
      <c r="G8" s="1153"/>
      <c r="H8" s="1153"/>
      <c r="I8" s="1153"/>
      <c r="J8" s="1153"/>
    </row>
    <row r="9" spans="1:11">
      <c r="A9" s="1160" t="str">
        <f>"Tahun Anggaran "&amp;tahun</f>
        <v>Tahun Anggaran 2025</v>
      </c>
      <c r="B9" s="1160"/>
      <c r="C9" s="1160"/>
      <c r="D9" s="1160"/>
      <c r="E9" s="1160"/>
      <c r="F9" s="1160"/>
      <c r="G9" s="1160"/>
      <c r="H9" s="1160"/>
      <c r="I9" s="1160"/>
      <c r="J9" s="1160"/>
    </row>
    <row r="10" spans="1:11">
      <c r="A10" s="1161" t="str">
        <f>"Nomor: "&amp;Input!D85</f>
        <v>Nomor: 05/1/XII/Pj.P BPKAD/2025</v>
      </c>
      <c r="B10" s="1161"/>
      <c r="C10" s="1161"/>
      <c r="D10" s="1161"/>
      <c r="E10" s="1161"/>
      <c r="F10" s="1161"/>
      <c r="G10" s="1161"/>
      <c r="H10" s="1161"/>
      <c r="I10" s="1161"/>
      <c r="J10" s="1161"/>
      <c r="K10" s="71" t="s">
        <v>253</v>
      </c>
    </row>
    <row r="11" spans="1:11" ht="5.25" customHeight="1">
      <c r="A11" s="60"/>
      <c r="B11" s="60"/>
      <c r="C11" s="60"/>
      <c r="D11" s="60"/>
      <c r="E11" s="60"/>
      <c r="F11" s="60"/>
      <c r="G11" s="60"/>
      <c r="H11" s="60"/>
      <c r="I11" s="60"/>
      <c r="J11" s="60"/>
    </row>
    <row r="12" spans="1:11">
      <c r="A12" s="1021" t="str">
        <f>"Pada hari ini, "&amp;Input!$E$85&amp;" tanggal "&amp;TEXT(Input!$F$85,"[$-421]d mmmm yyyy")&amp;", dengan mengambil tempat di "&amp;tempat&amp;", telah diadakan Klarifikasi Dan Negosiasi Teknis Dan Harga untuk paket tersebut di atas yang dihadiri oleh "&amp;Input!D50&amp;" dan "&amp;bu_nama&amp;" dengan hasil sebagai berikut :"</f>
        <v>Pada hari ini, Selasa tanggal 1 Agustus 2023, dengan mengambil tempat di Badan Pengelolaan Keuangan dan Aset Daerah, telah diadakan Klarifikasi Dan Negosiasi Teknis Dan Harga untuk paket tersebut di atas yang dihadiri oleh Pejabat Pengadaan dan PT. DARUSSALAM MEDIA GROUP dengan hasil sebagai berikut :</v>
      </c>
      <c r="B12" s="1021"/>
      <c r="C12" s="1021"/>
      <c r="D12" s="1021"/>
      <c r="E12" s="1021"/>
      <c r="F12" s="1021"/>
      <c r="G12" s="1021"/>
      <c r="H12" s="1021"/>
      <c r="I12" s="1021"/>
      <c r="J12" s="1021"/>
    </row>
    <row r="13" spans="1:11">
      <c r="A13" s="1021"/>
      <c r="B13" s="1021"/>
      <c r="C13" s="1021"/>
      <c r="D13" s="1021"/>
      <c r="E13" s="1021"/>
      <c r="F13" s="1021"/>
      <c r="G13" s="1021"/>
      <c r="H13" s="1021"/>
      <c r="I13" s="1021"/>
      <c r="J13" s="1021"/>
    </row>
    <row r="14" spans="1:11">
      <c r="A14" s="1021"/>
      <c r="B14" s="1021"/>
      <c r="C14" s="1021"/>
      <c r="D14" s="1021"/>
      <c r="E14" s="1021"/>
      <c r="F14" s="1021"/>
      <c r="G14" s="1021"/>
      <c r="H14" s="1021"/>
      <c r="I14" s="1021"/>
      <c r="J14" s="1021"/>
    </row>
    <row r="15" spans="1:11">
      <c r="A15" s="1021"/>
      <c r="B15" s="1021"/>
      <c r="C15" s="1021"/>
      <c r="D15" s="1021"/>
      <c r="E15" s="1021"/>
      <c r="F15" s="1021"/>
      <c r="G15" s="1021"/>
      <c r="H15" s="1021"/>
      <c r="I15" s="1021"/>
      <c r="J15" s="1021"/>
    </row>
    <row r="16" spans="1:11">
      <c r="A16" s="60"/>
      <c r="B16" s="60"/>
      <c r="C16" s="60"/>
      <c r="D16" s="60"/>
      <c r="E16" s="60"/>
      <c r="F16" s="60"/>
      <c r="G16" s="60"/>
      <c r="H16" s="60"/>
      <c r="I16" s="60"/>
      <c r="J16" s="60"/>
    </row>
    <row r="17" spans="1:10" ht="14.25" customHeight="1">
      <c r="A17" s="796" t="s">
        <v>419</v>
      </c>
      <c r="B17" s="37" t="s">
        <v>1105</v>
      </c>
      <c r="C17" s="37"/>
      <c r="D17" s="37"/>
      <c r="E17" s="37"/>
      <c r="F17" s="37"/>
      <c r="G17" s="37"/>
      <c r="H17" s="37"/>
      <c r="I17" s="37"/>
      <c r="J17" s="37"/>
    </row>
    <row r="18" spans="1:10">
      <c r="A18" s="796" t="s">
        <v>422</v>
      </c>
      <c r="B18" s="37" t="str">
        <f>"Harga hasil negosiasi sebesar Rp. "&amp;TEXT(bu_hn,tiko1)&amp;";"</f>
        <v>Harga hasil negosiasi sebesar Rp. 69,862,000;</v>
      </c>
      <c r="C18" s="56"/>
      <c r="D18" s="56"/>
      <c r="E18" s="56"/>
      <c r="F18" s="56"/>
      <c r="G18" s="56"/>
      <c r="H18" s="56"/>
      <c r="I18" s="56"/>
      <c r="J18" s="56"/>
    </row>
    <row r="19" spans="1:10">
      <c r="A19" s="796" t="s">
        <v>425</v>
      </c>
      <c r="B19" s="1148" t="s">
        <v>1106</v>
      </c>
      <c r="C19" s="1148"/>
      <c r="D19" s="1148"/>
      <c r="E19" s="1148"/>
      <c r="F19" s="1148"/>
      <c r="G19" s="1148"/>
      <c r="H19" s="1148"/>
      <c r="I19" s="1148"/>
      <c r="J19" s="1148"/>
    </row>
    <row r="20" spans="1:10">
      <c r="A20" s="37"/>
      <c r="B20" s="1148"/>
      <c r="C20" s="1148"/>
      <c r="D20" s="1148"/>
      <c r="E20" s="1148"/>
      <c r="F20" s="1148"/>
      <c r="G20" s="1148"/>
      <c r="H20" s="1148"/>
      <c r="I20" s="1148"/>
      <c r="J20" s="1148"/>
    </row>
    <row r="21" spans="1:10">
      <c r="A21" s="796" t="s">
        <v>435</v>
      </c>
      <c r="B21" s="37" t="s">
        <v>1107</v>
      </c>
      <c r="C21" s="56"/>
      <c r="D21" s="56"/>
      <c r="E21" s="56"/>
      <c r="F21" s="56"/>
      <c r="G21" s="56"/>
      <c r="H21" s="56"/>
      <c r="I21" s="56"/>
      <c r="J21" s="56"/>
    </row>
    <row r="22" spans="1:10">
      <c r="A22" s="56"/>
      <c r="B22" s="37"/>
      <c r="C22" s="38"/>
      <c r="D22" s="38"/>
      <c r="E22" s="56"/>
      <c r="F22" s="56"/>
      <c r="G22" s="56"/>
      <c r="H22" s="56"/>
      <c r="I22" s="56"/>
      <c r="J22" s="56"/>
    </row>
    <row r="23" spans="1:10">
      <c r="A23" s="1148" t="s">
        <v>1006</v>
      </c>
      <c r="B23" s="1148"/>
      <c r="C23" s="1148"/>
      <c r="D23" s="1148"/>
      <c r="E23" s="1148"/>
      <c r="F23" s="1148"/>
      <c r="G23" s="1148"/>
      <c r="H23" s="1148"/>
      <c r="I23" s="1148"/>
      <c r="J23" s="1148"/>
    </row>
    <row r="24" spans="1:10" ht="15" customHeight="1">
      <c r="A24" s="182"/>
      <c r="B24" s="182"/>
      <c r="C24" s="182"/>
      <c r="D24" s="182"/>
      <c r="E24" s="182"/>
      <c r="F24" s="182"/>
      <c r="G24" s="182"/>
      <c r="H24" s="182"/>
      <c r="I24" s="182"/>
      <c r="J24" s="182"/>
    </row>
    <row r="25" spans="1:10">
      <c r="A25" s="100" t="s">
        <v>258</v>
      </c>
      <c r="B25" s="1162" t="str">
        <f>pokja&amp;" pada "&amp;ukpbj</f>
        <v>Pejabat Pengadaan pada Badan Pengelolaan Keuangan dan Aset Daerah</v>
      </c>
      <c r="C25" s="1163"/>
      <c r="D25" s="1163"/>
      <c r="E25" s="1163"/>
      <c r="F25" s="1164"/>
      <c r="G25" s="1162" t="s">
        <v>983</v>
      </c>
      <c r="H25" s="1163"/>
      <c r="I25" s="1164"/>
    </row>
    <row r="26" spans="1:10">
      <c r="A26" s="101"/>
      <c r="B26" s="101"/>
      <c r="C26" s="113"/>
      <c r="D26" s="113"/>
      <c r="E26" s="113"/>
      <c r="F26" s="183"/>
      <c r="G26" s="1165"/>
      <c r="H26" s="1166"/>
      <c r="I26" s="1167"/>
    </row>
    <row r="27" spans="1:10">
      <c r="A27" s="105">
        <v>1</v>
      </c>
      <c r="B27" s="106" t="str">
        <f>_pan1</f>
        <v>Surmayanti Isnaini, S.IP</v>
      </c>
      <c r="C27" s="107"/>
      <c r="D27" s="107"/>
      <c r="E27" s="107"/>
      <c r="F27" s="108"/>
      <c r="G27" s="1157" t="s">
        <v>419</v>
      </c>
      <c r="H27" s="1158"/>
      <c r="I27" s="1159"/>
    </row>
    <row r="28" spans="1:10" ht="14.25" hidden="1" customHeight="1">
      <c r="A28" s="105">
        <v>2</v>
      </c>
      <c r="B28" s="106">
        <f>_pan2</f>
        <v>0</v>
      </c>
      <c r="C28" s="107"/>
      <c r="D28" s="107"/>
      <c r="E28" s="107"/>
      <c r="F28" s="108"/>
      <c r="G28" s="1154" t="s">
        <v>422</v>
      </c>
      <c r="H28" s="1155"/>
      <c r="I28" s="1156"/>
    </row>
    <row r="29" spans="1:10" ht="14.25" hidden="1" customHeight="1">
      <c r="A29" s="105">
        <v>3</v>
      </c>
      <c r="B29" s="106">
        <f>_pan3</f>
        <v>0</v>
      </c>
      <c r="C29" s="107"/>
      <c r="D29" s="107"/>
      <c r="E29" s="107"/>
      <c r="F29" s="108"/>
      <c r="G29" s="1157" t="s">
        <v>425</v>
      </c>
      <c r="H29" s="1158"/>
      <c r="I29" s="1159"/>
    </row>
    <row r="30" spans="1:10" ht="14.25" hidden="1" customHeight="1">
      <c r="A30" s="105">
        <v>4</v>
      </c>
      <c r="B30" s="106">
        <f>_pan4</f>
        <v>0</v>
      </c>
      <c r="C30" s="107"/>
      <c r="D30" s="107"/>
      <c r="E30" s="59"/>
      <c r="F30" s="184"/>
      <c r="G30" s="1154" t="s">
        <v>435</v>
      </c>
      <c r="H30" s="1155"/>
      <c r="I30" s="1156"/>
    </row>
    <row r="31" spans="1:10" ht="14.25" hidden="1" customHeight="1">
      <c r="A31" s="105">
        <v>5</v>
      </c>
      <c r="B31" s="106">
        <f>_pan5</f>
        <v>0</v>
      </c>
      <c r="C31" s="107"/>
      <c r="D31" s="107"/>
      <c r="E31" s="59"/>
      <c r="F31" s="184"/>
      <c r="G31" s="1157" t="s">
        <v>441</v>
      </c>
      <c r="H31" s="1158"/>
      <c r="I31" s="1159"/>
    </row>
    <row r="32" spans="1:10" ht="5.25" customHeight="1">
      <c r="A32" s="14"/>
      <c r="B32" s="14"/>
      <c r="C32" s="15"/>
      <c r="D32" s="15"/>
      <c r="E32" s="15"/>
      <c r="F32" s="16"/>
      <c r="G32" s="1168"/>
      <c r="H32" s="1169"/>
      <c r="I32" s="1170"/>
    </row>
    <row r="33" spans="1:12">
      <c r="A33" s="100" t="s">
        <v>258</v>
      </c>
      <c r="B33" s="1162" t="str">
        <f>bu_nama</f>
        <v>PT. DARUSSALAM MEDIA GROUP</v>
      </c>
      <c r="C33" s="1163"/>
      <c r="D33" s="1163"/>
      <c r="E33" s="1163"/>
      <c r="F33" s="1164"/>
      <c r="G33" s="1162" t="s">
        <v>983</v>
      </c>
      <c r="H33" s="1163"/>
      <c r="I33" s="1164"/>
    </row>
    <row r="34" spans="1:12">
      <c r="A34" s="101"/>
      <c r="B34" s="101"/>
      <c r="C34" s="113"/>
      <c r="D34" s="113"/>
      <c r="E34" s="113"/>
      <c r="F34" s="183"/>
      <c r="G34" s="1165"/>
      <c r="H34" s="1166"/>
      <c r="I34" s="1167"/>
    </row>
    <row r="35" spans="1:12">
      <c r="A35" s="105">
        <v>1</v>
      </c>
      <c r="B35" s="106" t="str">
        <f>bu_pimn&amp;" ("&amp;bu_pim&amp;")"</f>
        <v>Saripudin (Direktur)</v>
      </c>
      <c r="C35" s="107"/>
      <c r="D35" s="107"/>
      <c r="E35" s="107"/>
      <c r="F35" s="108"/>
      <c r="G35" s="1157" t="s">
        <v>419</v>
      </c>
      <c r="H35" s="1158"/>
      <c r="I35" s="1159"/>
    </row>
    <row r="36" spans="1:12" ht="5.25" customHeight="1">
      <c r="A36" s="14"/>
      <c r="B36" s="14"/>
      <c r="C36" s="15"/>
      <c r="D36" s="15"/>
      <c r="E36" s="15"/>
      <c r="F36" s="16"/>
      <c r="G36" s="1168"/>
      <c r="H36" s="1169"/>
      <c r="I36" s="1170"/>
    </row>
    <row r="37" spans="1:12" ht="5.25" customHeight="1">
      <c r="A37"/>
      <c r="B37"/>
      <c r="C37"/>
      <c r="D37"/>
      <c r="E37"/>
      <c r="F37"/>
      <c r="G37"/>
      <c r="H37"/>
      <c r="I37"/>
      <c r="J37" s="198"/>
    </row>
    <row r="38" spans="1:12" ht="5.25" customHeight="1"/>
    <row r="39" spans="1:12" ht="18.75" customHeight="1">
      <c r="A39" s="869" t="str">
        <f>"BERITA ACARA HASIL "&amp;UPPER(met_pil)</f>
        <v>BERITA ACARA HASIL PENGADAAN LANGSUNG</v>
      </c>
      <c r="B39" s="869"/>
      <c r="C39" s="869"/>
      <c r="D39" s="869"/>
      <c r="E39" s="869"/>
      <c r="F39" s="869"/>
      <c r="G39" s="869"/>
      <c r="H39" s="869"/>
      <c r="I39" s="869"/>
      <c r="J39" s="70"/>
      <c r="K39" s="70"/>
      <c r="L39" s="70"/>
    </row>
    <row r="40" spans="1:12" ht="15" customHeight="1">
      <c r="A40" s="870" t="str">
        <f>"Nomor: "&amp;Input!$D$86</f>
        <v>Nomor: 06/1/XII/Pj.P BPKAD/2025</v>
      </c>
      <c r="B40" s="870"/>
      <c r="C40" s="870"/>
      <c r="D40" s="870"/>
      <c r="E40" s="870"/>
      <c r="F40" s="870"/>
      <c r="G40" s="870"/>
      <c r="H40" s="870"/>
      <c r="I40" s="870"/>
      <c r="J40" s="58"/>
      <c r="K40" s="71" t="s">
        <v>253</v>
      </c>
      <c r="L40" s="58"/>
    </row>
    <row r="41" spans="1:12" customFormat="1">
      <c r="A41" s="59"/>
      <c r="B41" s="59"/>
      <c r="C41" s="59"/>
      <c r="D41" s="59"/>
      <c r="E41" s="185"/>
      <c r="F41" s="59"/>
      <c r="G41" s="59"/>
      <c r="H41" s="59"/>
      <c r="I41" s="59"/>
      <c r="J41" s="59"/>
      <c r="K41" s="59"/>
      <c r="L41" s="59"/>
    </row>
    <row r="42" spans="1:12" customFormat="1">
      <c r="A42" s="186" t="s">
        <v>1</v>
      </c>
      <c r="B42" s="186"/>
      <c r="C42" s="186"/>
      <c r="D42" s="186"/>
      <c r="E42" s="788" t="s">
        <v>2</v>
      </c>
      <c r="F42" s="1245" t="str">
        <f>paket</f>
        <v>Belanja Pemeliharaan Bangunan Gedung-Bangunan Gedung Tempat Kerja-Bangunan Gedung Kantor-Pemeliharaan Gedung Bertingkat</v>
      </c>
      <c r="G42" s="1245"/>
      <c r="H42" s="1245"/>
      <c r="I42" s="1245"/>
      <c r="J42" s="59"/>
      <c r="K42" s="59"/>
      <c r="L42" s="59"/>
    </row>
    <row r="43" spans="1:12" customFormat="1">
      <c r="A43" s="186"/>
      <c r="B43" s="186"/>
      <c r="C43" s="186"/>
      <c r="D43" s="186"/>
      <c r="E43" s="187"/>
      <c r="F43" s="1245"/>
      <c r="G43" s="1245"/>
      <c r="H43" s="1245"/>
      <c r="I43" s="1245"/>
      <c r="J43" s="59"/>
      <c r="K43" s="59"/>
      <c r="L43" s="59"/>
    </row>
    <row r="44" spans="1:12" customFormat="1">
      <c r="A44" s="59" t="s">
        <v>1108</v>
      </c>
      <c r="B44" s="186"/>
      <c r="C44" s="186"/>
      <c r="D44" s="186"/>
      <c r="E44" s="789" t="s">
        <v>2</v>
      </c>
      <c r="F44" s="59" t="str">
        <f>opd_nama</f>
        <v>Badan Pengelolaan Keuangan dan Aset Daerah</v>
      </c>
      <c r="G44" s="59"/>
      <c r="H44" s="59"/>
      <c r="I44" s="59"/>
      <c r="J44" s="59"/>
      <c r="K44" s="59"/>
      <c r="L44" s="59"/>
    </row>
    <row r="45" spans="1:12" customFormat="1">
      <c r="A45" s="59" t="s">
        <v>18</v>
      </c>
      <c r="B45" s="186"/>
      <c r="C45" s="186"/>
      <c r="D45" s="186"/>
      <c r="E45" s="185" t="s">
        <v>2</v>
      </c>
      <c r="F45" s="59" t="str">
        <f>dana</f>
        <v>DPA</v>
      </c>
      <c r="G45" s="59"/>
      <c r="H45" s="59"/>
      <c r="I45" s="59"/>
      <c r="J45" s="59"/>
      <c r="K45" s="59"/>
      <c r="L45" s="59"/>
    </row>
    <row r="46" spans="1:12" customFormat="1">
      <c r="A46" s="59" t="s">
        <v>21</v>
      </c>
      <c r="B46" s="186"/>
      <c r="C46" s="186"/>
      <c r="D46" s="186"/>
      <c r="E46" s="185" t="s">
        <v>2</v>
      </c>
      <c r="F46" s="189" t="str">
        <f>tahun</f>
        <v>2025</v>
      </c>
      <c r="G46" s="190"/>
      <c r="H46" s="59"/>
      <c r="I46" s="59"/>
      <c r="J46" s="59"/>
      <c r="K46" s="59"/>
      <c r="L46" s="59"/>
    </row>
    <row r="47" spans="1:12" customFormat="1">
      <c r="A47" s="191" t="s">
        <v>24</v>
      </c>
      <c r="B47" s="192"/>
      <c r="C47" s="192"/>
      <c r="D47" s="192"/>
      <c r="E47" s="193" t="s">
        <v>2</v>
      </c>
      <c r="F47" s="1244">
        <f>hps</f>
        <v>69862000</v>
      </c>
      <c r="G47" s="1244"/>
      <c r="H47" s="59"/>
      <c r="I47" s="59"/>
      <c r="J47" s="59"/>
      <c r="K47" s="59"/>
      <c r="L47" s="59"/>
    </row>
    <row r="48" spans="1:12" customFormat="1">
      <c r="A48" s="191" t="s">
        <v>25</v>
      </c>
      <c r="B48" s="192"/>
      <c r="C48" s="192"/>
      <c r="D48" s="192"/>
      <c r="E48" s="193" t="s">
        <v>2</v>
      </c>
      <c r="F48" s="1244" t="str">
        <f>hsls</f>
        <v>Lumsum</v>
      </c>
      <c r="G48" s="1244"/>
      <c r="H48" s="59"/>
      <c r="I48" s="59"/>
      <c r="J48" s="59"/>
      <c r="K48" s="59"/>
      <c r="L48" s="59"/>
    </row>
    <row r="49" spans="1:12" customFormat="1">
      <c r="A49" s="191" t="s">
        <v>29</v>
      </c>
      <c r="B49" s="192"/>
      <c r="C49" s="192"/>
      <c r="D49" s="192"/>
      <c r="E49" s="193" t="s">
        <v>2</v>
      </c>
      <c r="F49" s="1246">
        <f>masa</f>
        <v>30</v>
      </c>
      <c r="G49" s="1246"/>
      <c r="H49" s="59"/>
      <c r="I49" s="59"/>
      <c r="J49" s="59"/>
      <c r="K49" s="59"/>
      <c r="L49" s="59"/>
    </row>
    <row r="50" spans="1:12" customFormat="1">
      <c r="A50" s="59"/>
      <c r="B50" s="59"/>
      <c r="C50" s="59"/>
      <c r="D50" s="59"/>
      <c r="E50" s="59"/>
      <c r="F50" s="59"/>
      <c r="G50" s="59"/>
      <c r="H50" s="59"/>
      <c r="I50" s="59"/>
      <c r="J50" s="59"/>
      <c r="K50" s="59"/>
      <c r="L50" s="59"/>
    </row>
    <row r="51" spans="1:12" customFormat="1" ht="15" customHeight="1">
      <c r="A51" s="1021" t="str">
        <f>"Pada hari ini, "&amp;Input!E86&amp;", "&amp;Input!H86&amp;", "&amp;pokja&amp;" yang bertanda tangan di bawah ini telah melaksanakan "&amp;met_pil&amp;" untuk Paket Pekerjaan di atas dengan hasil sebagai berikut:"</f>
        <v>Pada hari ini, Selasa, 1 Agustus 2023, Pejabat Pengadaan yang bertanda tangan di bawah ini telah melaksanakan Pengadaan Langsung untuk Paket Pekerjaan di atas dengan hasil sebagai berikut:</v>
      </c>
      <c r="B51" s="1021"/>
      <c r="C51" s="1021"/>
      <c r="D51" s="1021"/>
      <c r="E51" s="1021"/>
      <c r="F51" s="1021"/>
      <c r="G51" s="1021"/>
      <c r="H51" s="1021"/>
      <c r="I51" s="1021"/>
      <c r="J51" s="59"/>
      <c r="K51" s="59"/>
      <c r="L51" s="59"/>
    </row>
    <row r="52" spans="1:12" customFormat="1" ht="15" customHeight="1">
      <c r="A52" s="1021"/>
      <c r="B52" s="1021"/>
      <c r="C52" s="1021"/>
      <c r="D52" s="1021"/>
      <c r="E52" s="1021"/>
      <c r="F52" s="1021"/>
      <c r="G52" s="1021"/>
      <c r="H52" s="1021"/>
      <c r="I52" s="1021"/>
      <c r="J52" s="59"/>
      <c r="K52" s="59"/>
      <c r="L52" s="59"/>
    </row>
    <row r="53" spans="1:12" customFormat="1">
      <c r="A53" s="196">
        <v>1</v>
      </c>
      <c r="B53" s="186" t="s">
        <v>1109</v>
      </c>
      <c r="C53" s="59"/>
      <c r="D53" s="59"/>
      <c r="E53" s="59"/>
      <c r="F53" s="59"/>
      <c r="G53" s="59"/>
      <c r="H53" s="59"/>
      <c r="I53" s="59"/>
      <c r="J53" s="59"/>
      <c r="K53" s="59"/>
      <c r="L53" s="59"/>
    </row>
    <row r="54" spans="1:12" customFormat="1">
      <c r="A54" s="59"/>
      <c r="B54" s="37" t="s">
        <v>232</v>
      </c>
      <c r="C54" s="37"/>
      <c r="D54" s="37"/>
      <c r="E54" s="44" t="s">
        <v>2</v>
      </c>
      <c r="F54" s="37" t="str">
        <f>bu_nama</f>
        <v>PT. DARUSSALAM MEDIA GROUP</v>
      </c>
      <c r="G54" s="37"/>
      <c r="H54" s="37"/>
      <c r="I54" s="59"/>
      <c r="J54" s="59"/>
      <c r="K54" s="199"/>
      <c r="L54" s="59"/>
    </row>
    <row r="55" spans="1:12" customFormat="1">
      <c r="A55" s="59"/>
      <c r="B55" s="37" t="s">
        <v>188</v>
      </c>
      <c r="C55" s="37"/>
      <c r="D55" s="37"/>
      <c r="E55" s="44" t="s">
        <v>2</v>
      </c>
      <c r="F55" s="37" t="str">
        <f>bu_npwp</f>
        <v>03.990.125.5.8-911.000</v>
      </c>
      <c r="G55" s="37"/>
      <c r="H55" s="37"/>
      <c r="I55" s="59"/>
      <c r="J55" s="59"/>
      <c r="K55" s="199"/>
      <c r="L55" s="59"/>
    </row>
    <row r="56" spans="1:12" customFormat="1">
      <c r="A56" s="59"/>
      <c r="B56" s="37" t="s">
        <v>190</v>
      </c>
      <c r="C56" s="37"/>
      <c r="D56" s="37"/>
      <c r="E56" s="44" t="s">
        <v>2</v>
      </c>
      <c r="F56" s="37" t="str">
        <f>bu_almt</f>
        <v>JL Meninting 13 No.. 22C BTN Kekalik, Kel. Pagesangan Barat, Kota Mataram, Provinsi Nusa Tenggara Barat</v>
      </c>
      <c r="G56" s="37"/>
      <c r="H56" s="37"/>
      <c r="I56" s="59"/>
      <c r="J56" s="59"/>
      <c r="K56" s="199"/>
      <c r="L56" s="59"/>
    </row>
    <row r="57" spans="1:12" customFormat="1">
      <c r="A57" s="59"/>
      <c r="B57" s="37" t="s">
        <v>1110</v>
      </c>
      <c r="C57" s="37"/>
      <c r="D57" s="37"/>
      <c r="E57" s="44" t="s">
        <v>2</v>
      </c>
      <c r="F57" s="197">
        <f>bu_hp</f>
        <v>199999800</v>
      </c>
      <c r="G57" s="37"/>
      <c r="H57" s="37"/>
      <c r="I57" s="59"/>
      <c r="J57" s="59"/>
      <c r="K57" s="199"/>
      <c r="L57" s="59"/>
    </row>
    <row r="58" spans="1:12" customFormat="1">
      <c r="A58" s="59"/>
      <c r="B58" s="59"/>
      <c r="C58" s="59"/>
      <c r="D58" s="59"/>
      <c r="E58" s="59"/>
      <c r="F58" s="59"/>
      <c r="G58" s="59"/>
      <c r="H58" s="59"/>
      <c r="I58" s="59"/>
      <c r="J58" s="59"/>
      <c r="K58" s="59"/>
      <c r="L58" s="59"/>
    </row>
    <row r="59" spans="1:12" customFormat="1">
      <c r="A59" s="196">
        <v>2</v>
      </c>
      <c r="B59" s="186" t="s">
        <v>1111</v>
      </c>
      <c r="C59" s="59"/>
      <c r="D59" s="59"/>
      <c r="E59" s="59"/>
      <c r="F59" s="59"/>
      <c r="G59" s="59"/>
      <c r="H59" s="59"/>
      <c r="I59" s="59"/>
      <c r="J59" s="59"/>
      <c r="K59" s="59"/>
      <c r="L59" s="59"/>
    </row>
    <row r="60" spans="1:12" customFormat="1">
      <c r="A60" s="59"/>
      <c r="B60" s="37" t="s">
        <v>1112</v>
      </c>
      <c r="C60" s="37"/>
      <c r="D60" s="37"/>
      <c r="E60" s="44" t="s">
        <v>2</v>
      </c>
      <c r="F60" s="37" t="s">
        <v>1113</v>
      </c>
      <c r="G60" s="37"/>
      <c r="H60" s="37"/>
      <c r="I60" s="59"/>
      <c r="J60" s="59"/>
      <c r="K60" s="199"/>
      <c r="L60" s="59"/>
    </row>
    <row r="61" spans="1:12" customFormat="1">
      <c r="A61" s="59"/>
      <c r="B61" s="37" t="s">
        <v>1114</v>
      </c>
      <c r="C61" s="37"/>
      <c r="D61" s="37"/>
      <c r="E61" s="44" t="s">
        <v>2</v>
      </c>
      <c r="F61" s="37" t="s">
        <v>1113</v>
      </c>
      <c r="G61" s="37"/>
      <c r="H61" s="37"/>
      <c r="I61" s="59"/>
      <c r="J61" s="59"/>
      <c r="K61" s="199"/>
      <c r="L61" s="59"/>
    </row>
    <row r="62" spans="1:12" customFormat="1">
      <c r="A62" s="59"/>
      <c r="B62" s="37" t="s">
        <v>1115</v>
      </c>
      <c r="C62" s="37"/>
      <c r="D62" s="37"/>
      <c r="E62" s="44" t="s">
        <v>2</v>
      </c>
      <c r="F62" s="37" t="s">
        <v>1113</v>
      </c>
      <c r="G62" s="37"/>
      <c r="H62" s="37"/>
      <c r="I62" s="59"/>
      <c r="J62" s="59"/>
      <c r="K62" s="199"/>
      <c r="L62" s="59"/>
    </row>
    <row r="63" spans="1:12" customFormat="1">
      <c r="A63" s="59"/>
      <c r="B63" s="37" t="s">
        <v>1116</v>
      </c>
      <c r="C63" s="37"/>
      <c r="D63" s="37"/>
      <c r="E63" s="44" t="s">
        <v>2</v>
      </c>
      <c r="F63" s="197" t="s">
        <v>1113</v>
      </c>
      <c r="G63" s="37"/>
      <c r="H63" s="37"/>
      <c r="I63" s="59"/>
      <c r="J63" s="59"/>
      <c r="K63" s="199"/>
      <c r="L63" s="59"/>
    </row>
    <row r="64" spans="1:12" customFormat="1">
      <c r="A64" s="59"/>
      <c r="B64" s="37" t="s">
        <v>1117</v>
      </c>
      <c r="C64" s="37"/>
      <c r="D64" s="37"/>
      <c r="E64" s="44"/>
      <c r="F64" s="197"/>
      <c r="G64" s="37"/>
      <c r="H64" s="37"/>
      <c r="I64" s="59"/>
      <c r="J64" s="59"/>
      <c r="K64" s="199"/>
      <c r="L64" s="59"/>
    </row>
    <row r="65" spans="1:13" customFormat="1">
      <c r="A65" s="59"/>
      <c r="B65" s="59"/>
      <c r="C65" s="59"/>
      <c r="D65" s="59"/>
      <c r="E65" s="59"/>
      <c r="F65" s="59"/>
      <c r="G65" s="59"/>
      <c r="H65" s="59"/>
      <c r="I65" s="59"/>
      <c r="J65" s="59"/>
      <c r="K65" s="59"/>
      <c r="L65" s="59"/>
    </row>
    <row r="66" spans="1:13" customFormat="1">
      <c r="A66" s="196">
        <v>3</v>
      </c>
      <c r="B66" s="186" t="s">
        <v>1118</v>
      </c>
      <c r="C66" s="59"/>
      <c r="D66" s="59"/>
      <c r="E66" s="59"/>
      <c r="F66" s="59"/>
      <c r="G66" s="59"/>
      <c r="H66" s="59"/>
      <c r="I66" s="59"/>
      <c r="J66" s="59"/>
      <c r="K66" s="59"/>
      <c r="L66" s="59"/>
    </row>
    <row r="67" spans="1:13" customFormat="1">
      <c r="A67" s="59"/>
      <c r="B67" s="37" t="s">
        <v>1119</v>
      </c>
      <c r="C67" s="37"/>
      <c r="D67" s="37"/>
      <c r="E67" s="44" t="s">
        <v>2</v>
      </c>
      <c r="F67" s="37" t="s">
        <v>1113</v>
      </c>
      <c r="G67" s="37"/>
      <c r="H67" s="37"/>
      <c r="I67" s="59"/>
      <c r="J67" s="59"/>
      <c r="K67" s="199"/>
      <c r="L67" s="59"/>
    </row>
    <row r="68" spans="1:13" customFormat="1">
      <c r="A68" s="59"/>
      <c r="B68" s="37" t="s">
        <v>1120</v>
      </c>
      <c r="C68" s="37"/>
      <c r="D68" s="37"/>
      <c r="E68" s="44" t="s">
        <v>2</v>
      </c>
      <c r="F68" s="197">
        <f>bu_hn</f>
        <v>69862000</v>
      </c>
      <c r="G68" s="37"/>
      <c r="H68" s="37"/>
      <c r="I68" s="59"/>
      <c r="J68" s="59"/>
      <c r="K68" s="199"/>
      <c r="L68" s="59"/>
    </row>
    <row r="69" spans="1:13" customFormat="1">
      <c r="A69" s="59"/>
      <c r="B69" s="18"/>
      <c r="C69" s="18"/>
      <c r="D69" s="18"/>
      <c r="E69" s="18"/>
      <c r="F69" s="18"/>
      <c r="G69" s="18"/>
      <c r="H69" s="18"/>
      <c r="I69" s="59"/>
      <c r="J69" s="59"/>
      <c r="K69" s="59"/>
      <c r="L69" s="59"/>
    </row>
    <row r="70" spans="1:13" customFormat="1">
      <c r="A70" s="196">
        <v>4</v>
      </c>
      <c r="B70" s="186" t="str">
        <f>"Kesimpulan"&amp;IF(Input!F240&lt;&gt;"(Tender Pertama)"," "&amp;Input!F240,"")</f>
        <v xml:space="preserve">Kesimpulan </v>
      </c>
      <c r="C70" s="59"/>
      <c r="D70" s="59"/>
      <c r="E70" s="59"/>
      <c r="F70" s="59"/>
      <c r="G70" s="59"/>
      <c r="H70" s="59"/>
      <c r="I70" s="59"/>
      <c r="J70" s="59"/>
      <c r="K70" s="59"/>
      <c r="L70" s="59"/>
    </row>
    <row r="71" spans="1:13" customFormat="1">
      <c r="A71" s="59"/>
      <c r="B71" s="1021" t="str">
        <f>"Berdasarkan hasil evaluasi, "&amp;pokja&amp;" menyimpulkan bahwa peserta memenuhi syarat sebagai calon penyedia."</f>
        <v>Berdasarkan hasil evaluasi, Pejabat Pengadaan menyimpulkan bahwa peserta memenuhi syarat sebagai calon penyedia.</v>
      </c>
      <c r="C71" s="1021"/>
      <c r="D71" s="1021"/>
      <c r="E71" s="1021"/>
      <c r="F71" s="1021"/>
      <c r="G71" s="1021"/>
      <c r="H71" s="1021"/>
      <c r="I71" s="1021"/>
      <c r="J71" s="59"/>
      <c r="K71" s="59"/>
      <c r="L71" s="59"/>
    </row>
    <row r="72" spans="1:13" customFormat="1">
      <c r="A72" s="59"/>
      <c r="B72" s="1021"/>
      <c r="C72" s="1021"/>
      <c r="D72" s="1021"/>
      <c r="E72" s="1021"/>
      <c r="F72" s="1021"/>
      <c r="G72" s="1021"/>
      <c r="H72" s="1021"/>
      <c r="I72" s="1021"/>
      <c r="J72" s="59"/>
      <c r="K72" s="59"/>
      <c r="L72" s="59"/>
    </row>
    <row r="73" spans="1:13" customFormat="1">
      <c r="A73" s="59"/>
      <c r="B73" s="37"/>
      <c r="C73" s="64"/>
      <c r="D73" s="64"/>
      <c r="E73" s="64"/>
      <c r="F73" s="64"/>
      <c r="G73" s="64"/>
      <c r="H73" s="64"/>
      <c r="I73" s="59"/>
      <c r="J73" s="59"/>
      <c r="K73" s="59"/>
      <c r="L73" s="59"/>
    </row>
    <row r="74" spans="1:13" customFormat="1" ht="15" customHeight="1">
      <c r="A74" s="1021" t="str">
        <f>"Demikian Berita Acara Hasil "&amp;met_pil&amp;" ini dibuat dengan penuh rasa tanggung jawab untuk dipergunakan  sebagaimana mestinya."</f>
        <v>Demikian Berita Acara Hasil Pengadaan Langsung ini dibuat dengan penuh rasa tanggung jawab untuk dipergunakan  sebagaimana mestinya.</v>
      </c>
      <c r="B74" s="1021"/>
      <c r="C74" s="1021"/>
      <c r="D74" s="1021"/>
      <c r="E74" s="1021"/>
      <c r="F74" s="1021"/>
      <c r="G74" s="1021"/>
      <c r="H74" s="1021"/>
      <c r="I74" s="1021"/>
      <c r="J74" s="59"/>
      <c r="K74" s="59"/>
      <c r="L74" s="59"/>
    </row>
    <row r="75" spans="1:13" customFormat="1">
      <c r="A75" s="1021"/>
      <c r="B75" s="1021"/>
      <c r="C75" s="1021"/>
      <c r="D75" s="1021"/>
      <c r="E75" s="1021"/>
      <c r="F75" s="1021"/>
      <c r="G75" s="1021"/>
      <c r="H75" s="1021"/>
      <c r="I75" s="1021"/>
      <c r="J75" s="59"/>
      <c r="K75" s="59"/>
      <c r="L75" s="59"/>
    </row>
    <row r="76" spans="1:13" customFormat="1">
      <c r="A76" s="59"/>
      <c r="B76" s="59"/>
      <c r="C76" s="18"/>
      <c r="D76" s="18"/>
      <c r="E76" s="18"/>
      <c r="F76" s="18"/>
      <c r="G76" s="18"/>
      <c r="H76" s="18"/>
      <c r="I76" s="18"/>
      <c r="J76" s="59"/>
      <c r="K76" s="59"/>
      <c r="L76" s="59"/>
      <c r="M76" s="59"/>
    </row>
    <row r="77" spans="1:13">
      <c r="A77" s="100" t="s">
        <v>258</v>
      </c>
      <c r="B77" s="1162" t="str">
        <f>pokja</f>
        <v>Pejabat Pengadaan</v>
      </c>
      <c r="C77" s="1163"/>
      <c r="D77" s="1163"/>
      <c r="E77" s="1163"/>
      <c r="F77" s="1164"/>
      <c r="G77" s="1162" t="s">
        <v>983</v>
      </c>
      <c r="H77" s="1163"/>
      <c r="I77" s="1164"/>
    </row>
    <row r="78" spans="1:13">
      <c r="A78" s="101"/>
      <c r="B78" s="101"/>
      <c r="C78" s="113"/>
      <c r="D78" s="113"/>
      <c r="E78" s="113"/>
      <c r="F78" s="183"/>
      <c r="G78" s="1165"/>
      <c r="H78" s="1166"/>
      <c r="I78" s="1167"/>
    </row>
    <row r="79" spans="1:13">
      <c r="A79" s="105">
        <v>1</v>
      </c>
      <c r="B79" s="106" t="str">
        <f>_pan1</f>
        <v>Surmayanti Isnaini, S.IP</v>
      </c>
      <c r="C79" s="107"/>
      <c r="D79" s="107"/>
      <c r="E79" s="107"/>
      <c r="F79" s="108"/>
      <c r="G79" s="1157" t="s">
        <v>419</v>
      </c>
      <c r="H79" s="1158"/>
      <c r="I79" s="1159"/>
    </row>
    <row r="80" spans="1:13" ht="14.25" hidden="1" customHeight="1">
      <c r="A80" s="105">
        <v>2</v>
      </c>
      <c r="B80" s="106">
        <f>_pan2</f>
        <v>0</v>
      </c>
      <c r="C80" s="107"/>
      <c r="D80" s="107"/>
      <c r="E80" s="107"/>
      <c r="F80" s="108"/>
      <c r="G80" s="1154" t="s">
        <v>422</v>
      </c>
      <c r="H80" s="1155"/>
      <c r="I80" s="1156"/>
    </row>
    <row r="81" spans="1:12" ht="14.25" hidden="1" customHeight="1">
      <c r="A81" s="105">
        <v>3</v>
      </c>
      <c r="B81" s="106">
        <f>_pan3</f>
        <v>0</v>
      </c>
      <c r="C81" s="107"/>
      <c r="D81" s="107"/>
      <c r="E81" s="107"/>
      <c r="F81" s="108"/>
      <c r="G81" s="1157" t="s">
        <v>425</v>
      </c>
      <c r="H81" s="1158"/>
      <c r="I81" s="1159"/>
    </row>
    <row r="82" spans="1:12" ht="14.25" hidden="1" customHeight="1">
      <c r="A82" s="105">
        <v>4</v>
      </c>
      <c r="B82" s="106">
        <f>_pan4</f>
        <v>0</v>
      </c>
      <c r="C82" s="107"/>
      <c r="D82" s="107"/>
      <c r="E82" s="59"/>
      <c r="F82" s="184"/>
      <c r="G82" s="1154" t="s">
        <v>435</v>
      </c>
      <c r="H82" s="1155"/>
      <c r="I82" s="1156"/>
    </row>
    <row r="83" spans="1:12" ht="14.25" hidden="1" customHeight="1">
      <c r="A83" s="105">
        <v>5</v>
      </c>
      <c r="B83" s="106">
        <f>_pan5</f>
        <v>0</v>
      </c>
      <c r="C83" s="107"/>
      <c r="D83" s="107"/>
      <c r="E83" s="59"/>
      <c r="F83" s="184"/>
      <c r="G83" s="1157" t="s">
        <v>441</v>
      </c>
      <c r="H83" s="1158"/>
      <c r="I83" s="1159"/>
    </row>
    <row r="84" spans="1:12" ht="5.25" customHeight="1">
      <c r="A84" s="14"/>
      <c r="B84" s="14"/>
      <c r="C84" s="15"/>
      <c r="D84" s="15"/>
      <c r="E84" s="15"/>
      <c r="F84" s="16"/>
      <c r="G84" s="1168"/>
      <c r="H84" s="1169"/>
      <c r="I84" s="1170"/>
    </row>
    <row r="85" spans="1:12" customFormat="1" ht="12.75"/>
    <row r="86" spans="1:12" ht="5.25" customHeight="1"/>
    <row r="87" spans="1:12" ht="18.75" customHeight="1">
      <c r="A87" s="869" t="s">
        <v>1121</v>
      </c>
      <c r="B87" s="869"/>
      <c r="C87" s="869"/>
      <c r="D87" s="869"/>
      <c r="E87" s="869"/>
      <c r="F87" s="869"/>
      <c r="G87" s="869"/>
      <c r="H87" s="869"/>
      <c r="I87" s="869"/>
      <c r="J87" s="70"/>
      <c r="K87" s="1177" t="s">
        <v>1122</v>
      </c>
      <c r="L87" s="70"/>
    </row>
    <row r="88" spans="1:12" ht="15" customHeight="1">
      <c r="A88" s="870" t="str">
        <f>"Nomor: "&amp;Input!$D$87</f>
        <v>Nomor: 07/1/XII/Pj.P BPKAD/2025</v>
      </c>
      <c r="B88" s="870"/>
      <c r="C88" s="870"/>
      <c r="D88" s="870"/>
      <c r="E88" s="870"/>
      <c r="F88" s="870"/>
      <c r="G88" s="870"/>
      <c r="H88" s="870"/>
      <c r="I88" s="870"/>
      <c r="J88" s="58"/>
      <c r="K88" s="1177"/>
      <c r="L88" s="58"/>
    </row>
    <row r="89" spans="1:12" customFormat="1">
      <c r="A89" s="59"/>
      <c r="B89" s="59"/>
      <c r="C89" s="59"/>
      <c r="D89" s="59"/>
      <c r="E89" s="185"/>
      <c r="F89" s="59"/>
      <c r="G89" s="59"/>
      <c r="H89" s="59"/>
      <c r="I89" s="59"/>
      <c r="J89" s="59"/>
      <c r="K89" s="1177"/>
      <c r="L89" s="59"/>
    </row>
    <row r="90" spans="1:12" customFormat="1">
      <c r="A90" s="186" t="s">
        <v>1</v>
      </c>
      <c r="B90" s="186"/>
      <c r="C90" s="186"/>
      <c r="D90" s="186"/>
      <c r="E90" s="788" t="s">
        <v>2</v>
      </c>
      <c r="F90" s="1245" t="str">
        <f>paket</f>
        <v>Belanja Pemeliharaan Bangunan Gedung-Bangunan Gedung Tempat Kerja-Bangunan Gedung Kantor-Pemeliharaan Gedung Bertingkat</v>
      </c>
      <c r="G90" s="1245"/>
      <c r="H90" s="1245"/>
      <c r="I90" s="1245"/>
      <c r="J90" s="59"/>
      <c r="K90" s="59"/>
      <c r="L90" s="59"/>
    </row>
    <row r="91" spans="1:12" customFormat="1">
      <c r="A91" s="186"/>
      <c r="B91" s="186"/>
      <c r="C91" s="186"/>
      <c r="D91" s="186"/>
      <c r="E91" s="187"/>
      <c r="F91" s="1245"/>
      <c r="G91" s="1245"/>
      <c r="H91" s="1245"/>
      <c r="I91" s="1245"/>
      <c r="J91" s="59"/>
      <c r="K91" s="59"/>
      <c r="L91" s="59"/>
    </row>
    <row r="92" spans="1:12" customFormat="1">
      <c r="A92" s="59" t="s">
        <v>1108</v>
      </c>
      <c r="B92" s="186"/>
      <c r="C92" s="186"/>
      <c r="D92" s="186"/>
      <c r="E92" s="789" t="s">
        <v>2</v>
      </c>
      <c r="F92" s="59" t="str">
        <f>opd_nama</f>
        <v>Badan Pengelolaan Keuangan dan Aset Daerah</v>
      </c>
      <c r="G92" s="59"/>
      <c r="H92" s="59"/>
      <c r="I92" s="59"/>
      <c r="J92" s="59"/>
      <c r="K92" s="59"/>
      <c r="L92" s="59"/>
    </row>
    <row r="93" spans="1:12" customFormat="1">
      <c r="A93" s="59" t="s">
        <v>18</v>
      </c>
      <c r="B93" s="186"/>
      <c r="C93" s="186"/>
      <c r="D93" s="186"/>
      <c r="E93" s="185" t="s">
        <v>2</v>
      </c>
      <c r="F93" s="59" t="str">
        <f>dana</f>
        <v>DPA</v>
      </c>
      <c r="G93" s="59"/>
      <c r="H93" s="59"/>
      <c r="I93" s="59"/>
      <c r="J93" s="59"/>
      <c r="K93" s="59"/>
      <c r="L93" s="59"/>
    </row>
    <row r="94" spans="1:12" customFormat="1">
      <c r="A94" s="59" t="s">
        <v>21</v>
      </c>
      <c r="B94" s="186"/>
      <c r="C94" s="186"/>
      <c r="D94" s="186"/>
      <c r="E94" s="185" t="s">
        <v>2</v>
      </c>
      <c r="F94" s="189" t="str">
        <f>tahun</f>
        <v>2025</v>
      </c>
      <c r="G94" s="190"/>
      <c r="H94" s="59"/>
      <c r="I94" s="59"/>
      <c r="J94" s="59"/>
      <c r="K94" s="59"/>
      <c r="L94" s="59"/>
    </row>
    <row r="95" spans="1:12" customFormat="1">
      <c r="A95" s="191" t="s">
        <v>24</v>
      </c>
      <c r="B95" s="192"/>
      <c r="C95" s="192"/>
      <c r="D95" s="192"/>
      <c r="E95" s="193" t="s">
        <v>2</v>
      </c>
      <c r="F95" s="1244">
        <f>hps</f>
        <v>69862000</v>
      </c>
      <c r="G95" s="1244"/>
      <c r="H95" s="59"/>
      <c r="I95" s="59"/>
      <c r="J95" s="59"/>
      <c r="K95" s="59"/>
      <c r="L95" s="59"/>
    </row>
    <row r="96" spans="1:12" customFormat="1">
      <c r="A96" s="191" t="s">
        <v>25</v>
      </c>
      <c r="B96" s="192"/>
      <c r="C96" s="192"/>
      <c r="D96" s="192"/>
      <c r="E96" s="193" t="s">
        <v>2</v>
      </c>
      <c r="F96" s="1244" t="str">
        <f>hsls</f>
        <v>Lumsum</v>
      </c>
      <c r="G96" s="1244"/>
      <c r="H96" s="59"/>
      <c r="I96" s="59"/>
      <c r="J96" s="59"/>
      <c r="K96" s="59"/>
      <c r="L96" s="59"/>
    </row>
    <row r="97" spans="1:12" customFormat="1">
      <c r="A97" s="191" t="s">
        <v>29</v>
      </c>
      <c r="B97" s="192"/>
      <c r="C97" s="192"/>
      <c r="D97" s="192"/>
      <c r="E97" s="193" t="s">
        <v>2</v>
      </c>
      <c r="F97" s="1246">
        <f>masa</f>
        <v>30</v>
      </c>
      <c r="G97" s="1246"/>
      <c r="H97" s="59"/>
      <c r="I97" s="59"/>
      <c r="J97" s="59"/>
      <c r="K97" s="59"/>
      <c r="L97" s="59"/>
    </row>
    <row r="98" spans="1:12" ht="5.25" customHeight="1"/>
    <row r="99" spans="1:12" customFormat="1">
      <c r="A99" s="890" t="str">
        <f>"Pada hari ini "&amp;Input!E87&amp;", tanggal "&amp;Input!H87&amp;", dengan memperhatikan:"</f>
        <v>Pada hari ini Selasa, tanggal 1 Agustus 2023, dengan memperhatikan:</v>
      </c>
      <c r="B99" s="890"/>
      <c r="C99" s="890"/>
      <c r="D99" s="890"/>
      <c r="E99" s="890"/>
      <c r="F99" s="890"/>
      <c r="G99" s="890"/>
      <c r="H99" s="890"/>
      <c r="I99" s="890"/>
      <c r="J99" s="59"/>
      <c r="K99" s="59"/>
    </row>
    <row r="100" spans="1:12" customFormat="1" ht="15" customHeight="1">
      <c r="A100" s="64"/>
      <c r="B100" s="64"/>
      <c r="C100" s="64"/>
      <c r="D100" s="64"/>
      <c r="E100" s="64"/>
      <c r="F100" s="64"/>
      <c r="G100" s="64"/>
      <c r="H100" s="64"/>
      <c r="I100" s="64"/>
      <c r="J100" s="18"/>
      <c r="K100" s="18"/>
    </row>
    <row r="101" spans="1:12" customFormat="1">
      <c r="A101" s="789" t="s">
        <v>419</v>
      </c>
      <c r="B101" s="1021" t="s">
        <v>1123</v>
      </c>
      <c r="C101" s="1021"/>
      <c r="D101" s="1021"/>
      <c r="E101" s="1021"/>
      <c r="F101" s="1021"/>
      <c r="G101" s="1021"/>
      <c r="H101" s="1021"/>
      <c r="I101" s="1021"/>
      <c r="J101" s="18"/>
      <c r="K101" s="18"/>
    </row>
    <row r="102" spans="1:12" customFormat="1">
      <c r="A102" s="789" t="s">
        <v>422</v>
      </c>
      <c r="B102" s="1021" t="str">
        <f>"Surat "&amp;ppk_jab&amp;" nomor "&amp;Input!$D$76&amp;" tanggal "&amp;Input!H76&amp;" perihal "&amp;PPK.Srt1!D14&amp;";"</f>
        <v>Surat Pejabat Pembuat Komitmen nomor 027.1/01.PPK/BPKAD/2025 tanggal 6 Oktober 2025 perihal Pengadaan Langsung Paket Belanja Pemeliharaan Bangunan Gedung-Bangunan Gedung Tempat Kerja-Bangunan Gedung Kantor-Pemeliharaan Gedung Bertingkat;</v>
      </c>
      <c r="C102" s="1021"/>
      <c r="D102" s="1021"/>
      <c r="E102" s="1021"/>
      <c r="F102" s="1021"/>
      <c r="G102" s="1021"/>
      <c r="H102" s="1021"/>
      <c r="I102" s="1021"/>
      <c r="J102" s="18"/>
      <c r="K102" s="18"/>
    </row>
    <row r="103" spans="1:12" customFormat="1">
      <c r="A103" s="185"/>
      <c r="B103" s="1021"/>
      <c r="C103" s="1021"/>
      <c r="D103" s="1021"/>
      <c r="E103" s="1021"/>
      <c r="F103" s="1021"/>
      <c r="G103" s="1021"/>
      <c r="H103" s="1021"/>
      <c r="I103" s="1021"/>
      <c r="J103" s="18"/>
      <c r="K103" s="18"/>
    </row>
    <row r="104" spans="1:12" customFormat="1">
      <c r="A104" s="789" t="s">
        <v>422</v>
      </c>
      <c r="B104" s="1021" t="str">
        <f>"Berita Acara Hasil "&amp;met_pil&amp;" nomor "&amp;Input!$D$86&amp;" tanggal "&amp;Input!H86&amp;" untuk pekerjaan tersebut di atas."</f>
        <v>Berita Acara Hasil Pengadaan Langsung nomor 06/1/XII/Pj.P BPKAD/2025 tanggal 1 Agustus 2023 untuk pekerjaan tersebut di atas.</v>
      </c>
      <c r="C104" s="1021"/>
      <c r="D104" s="1021"/>
      <c r="E104" s="1021"/>
      <c r="F104" s="1021"/>
      <c r="G104" s="1021"/>
      <c r="H104" s="1021"/>
      <c r="I104" s="1021"/>
      <c r="J104" s="18"/>
      <c r="K104" s="18"/>
    </row>
    <row r="105" spans="1:12" customFormat="1">
      <c r="A105" s="185"/>
      <c r="B105" s="1021"/>
      <c r="C105" s="1021"/>
      <c r="D105" s="1021"/>
      <c r="E105" s="1021"/>
      <c r="F105" s="1021"/>
      <c r="G105" s="1021"/>
      <c r="H105" s="1021"/>
      <c r="I105" s="1021"/>
      <c r="J105" s="18"/>
      <c r="K105" s="18"/>
    </row>
    <row r="106" spans="1:12" customFormat="1" ht="15" customHeight="1">
      <c r="A106" s="185"/>
      <c r="B106" s="59"/>
      <c r="C106" s="59"/>
      <c r="D106" s="59"/>
      <c r="E106" s="18"/>
      <c r="F106" s="18"/>
      <c r="G106" s="18"/>
      <c r="H106" s="18"/>
      <c r="I106" s="18"/>
      <c r="J106" s="18"/>
      <c r="K106" s="18"/>
    </row>
    <row r="107" spans="1:12" customFormat="1">
      <c r="A107" s="818" t="s">
        <v>1124</v>
      </c>
      <c r="B107" s="59"/>
      <c r="C107" s="59"/>
      <c r="D107" s="59"/>
      <c r="E107" s="18"/>
      <c r="F107" s="18"/>
      <c r="G107" s="18"/>
      <c r="H107" s="18"/>
      <c r="I107" s="18"/>
      <c r="J107" s="18"/>
      <c r="K107" s="18"/>
    </row>
    <row r="108" spans="1:12" customFormat="1">
      <c r="A108" s="189"/>
      <c r="B108" s="59"/>
      <c r="C108" s="59"/>
      <c r="D108" s="59"/>
      <c r="E108" s="18"/>
      <c r="F108" s="18"/>
      <c r="G108" s="18"/>
      <c r="H108" s="18"/>
      <c r="I108" s="18"/>
      <c r="J108" s="18"/>
      <c r="K108" s="18"/>
    </row>
    <row r="109" spans="1:12" customFormat="1">
      <c r="A109" s="59"/>
      <c r="B109" s="37" t="s">
        <v>232</v>
      </c>
      <c r="C109" s="37"/>
      <c r="D109" s="37"/>
      <c r="E109" s="44" t="s">
        <v>2</v>
      </c>
      <c r="F109" s="37" t="str">
        <f>bu_nama</f>
        <v>PT. DARUSSALAM MEDIA GROUP</v>
      </c>
      <c r="G109" s="37"/>
      <c r="H109" s="37"/>
      <c r="I109" s="59"/>
      <c r="J109" s="59"/>
      <c r="K109" s="199"/>
      <c r="L109" s="59"/>
    </row>
    <row r="110" spans="1:12" customFormat="1">
      <c r="A110" s="59"/>
      <c r="B110" s="37" t="s">
        <v>188</v>
      </c>
      <c r="C110" s="37"/>
      <c r="D110" s="37"/>
      <c r="E110" s="44" t="s">
        <v>2</v>
      </c>
      <c r="F110" s="37" t="str">
        <f>bu_npwp</f>
        <v>03.990.125.5.8-911.000</v>
      </c>
      <c r="G110" s="37"/>
      <c r="H110" s="37"/>
      <c r="I110" s="59"/>
      <c r="J110" s="59"/>
      <c r="K110" s="199"/>
      <c r="L110" s="59"/>
    </row>
    <row r="111" spans="1:12" customFormat="1">
      <c r="A111" s="59"/>
      <c r="B111" s="37" t="s">
        <v>190</v>
      </c>
      <c r="C111" s="37"/>
      <c r="D111" s="37"/>
      <c r="E111" s="44" t="s">
        <v>2</v>
      </c>
      <c r="F111" s="37" t="str">
        <f>bu_almt</f>
        <v>JL Meninting 13 No.. 22C BTN Kekalik, Kel. Pagesangan Barat, Kota Mataram, Provinsi Nusa Tenggara Barat</v>
      </c>
      <c r="G111" s="37"/>
      <c r="H111" s="37"/>
      <c r="I111" s="59"/>
      <c r="J111" s="59"/>
      <c r="K111" s="199"/>
      <c r="L111" s="59"/>
    </row>
    <row r="112" spans="1:12" customFormat="1">
      <c r="A112" s="59"/>
      <c r="B112" s="37" t="s">
        <v>1110</v>
      </c>
      <c r="C112" s="37"/>
      <c r="D112" s="37"/>
      <c r="E112" s="44" t="s">
        <v>2</v>
      </c>
      <c r="F112" s="197">
        <f>bu_hp</f>
        <v>199999800</v>
      </c>
      <c r="G112" s="37"/>
      <c r="H112" s="37"/>
      <c r="I112" s="59"/>
      <c r="J112" s="59"/>
      <c r="K112" s="199"/>
      <c r="L112" s="59"/>
    </row>
    <row r="113" spans="1:12" customFormat="1">
      <c r="A113" s="59"/>
      <c r="B113" s="37" t="s">
        <v>1120</v>
      </c>
      <c r="C113" s="37"/>
      <c r="D113" s="37"/>
      <c r="E113" s="44" t="s">
        <v>2</v>
      </c>
      <c r="F113" s="197">
        <f>bu_hn</f>
        <v>69862000</v>
      </c>
      <c r="G113" s="37"/>
      <c r="H113" s="37"/>
      <c r="I113" s="59"/>
      <c r="J113" s="59"/>
      <c r="K113" s="199"/>
      <c r="L113" s="59"/>
    </row>
    <row r="114" spans="1:12" customFormat="1">
      <c r="A114" s="59"/>
      <c r="B114" s="37"/>
      <c r="C114" s="37"/>
      <c r="D114" s="37"/>
      <c r="E114" s="44"/>
      <c r="F114" s="1247" t="str">
        <f>"("&amp;bu_hn2&amp;")"</f>
        <v>(Enam Puluh Sembilan Juta Delapan Ratus Enam Puluh Dua Ribu Rupiah)</v>
      </c>
      <c r="G114" s="1247"/>
      <c r="H114" s="1247"/>
      <c r="I114" s="1247"/>
      <c r="J114" s="59"/>
      <c r="K114" s="199"/>
      <c r="L114" s="59"/>
    </row>
    <row r="115" spans="1:12" ht="15" customHeight="1">
      <c r="B115" s="37"/>
      <c r="C115" s="38"/>
      <c r="D115" s="38"/>
      <c r="E115" s="37"/>
      <c r="F115" s="37"/>
      <c r="G115" s="37"/>
      <c r="H115" s="37"/>
      <c r="I115" s="37"/>
    </row>
    <row r="116" spans="1:12" ht="15" customHeight="1">
      <c r="A116" s="37" t="s">
        <v>1125</v>
      </c>
      <c r="B116" s="37"/>
      <c r="C116" s="38"/>
      <c r="D116" s="38"/>
      <c r="E116" s="37"/>
      <c r="F116" s="37"/>
      <c r="G116" s="37"/>
      <c r="H116" s="37"/>
      <c r="I116" s="37"/>
    </row>
    <row r="117" spans="1:12" ht="15" customHeight="1">
      <c r="C117" s="43"/>
      <c r="D117" s="43"/>
      <c r="G117" s="54"/>
      <c r="H117" s="53"/>
      <c r="I117" s="53"/>
    </row>
    <row r="118" spans="1:12">
      <c r="A118" s="100" t="s">
        <v>258</v>
      </c>
      <c r="B118" s="1162" t="str">
        <f>pokja</f>
        <v>Pejabat Pengadaan</v>
      </c>
      <c r="C118" s="1163"/>
      <c r="D118" s="1163"/>
      <c r="E118" s="1163"/>
      <c r="F118" s="1164"/>
      <c r="G118" s="1162" t="s">
        <v>983</v>
      </c>
      <c r="H118" s="1163"/>
      <c r="I118" s="1164"/>
    </row>
    <row r="119" spans="1:12">
      <c r="A119" s="101"/>
      <c r="B119" s="101"/>
      <c r="C119" s="113"/>
      <c r="D119" s="113"/>
      <c r="E119" s="113"/>
      <c r="F119" s="183"/>
      <c r="G119" s="1165"/>
      <c r="H119" s="1166"/>
      <c r="I119" s="1167"/>
    </row>
    <row r="120" spans="1:12">
      <c r="A120" s="105">
        <v>1</v>
      </c>
      <c r="B120" s="106" t="str">
        <f>_pan1</f>
        <v>Surmayanti Isnaini, S.IP</v>
      </c>
      <c r="C120" s="107"/>
      <c r="D120" s="107"/>
      <c r="E120" s="107"/>
      <c r="F120" s="108"/>
      <c r="G120" s="1157" t="s">
        <v>419</v>
      </c>
      <c r="H120" s="1158"/>
      <c r="I120" s="1159"/>
    </row>
    <row r="121" spans="1:12" ht="14.25" hidden="1" customHeight="1">
      <c r="A121" s="105">
        <v>2</v>
      </c>
      <c r="B121" s="106">
        <f>_pan2</f>
        <v>0</v>
      </c>
      <c r="C121" s="107"/>
      <c r="D121" s="107"/>
      <c r="E121" s="107"/>
      <c r="F121" s="108"/>
      <c r="G121" s="1154" t="s">
        <v>422</v>
      </c>
      <c r="H121" s="1155"/>
      <c r="I121" s="1156"/>
    </row>
    <row r="122" spans="1:12" ht="14.25" hidden="1" customHeight="1">
      <c r="A122" s="105">
        <v>3</v>
      </c>
      <c r="B122" s="106">
        <f>_pan3</f>
        <v>0</v>
      </c>
      <c r="C122" s="107"/>
      <c r="D122" s="107"/>
      <c r="E122" s="107"/>
      <c r="F122" s="108"/>
      <c r="G122" s="1157" t="s">
        <v>425</v>
      </c>
      <c r="H122" s="1158"/>
      <c r="I122" s="1159"/>
    </row>
    <row r="123" spans="1:12" ht="14.25" hidden="1" customHeight="1">
      <c r="A123" s="105">
        <v>4</v>
      </c>
      <c r="B123" s="106">
        <f>_pan4</f>
        <v>0</v>
      </c>
      <c r="C123" s="107"/>
      <c r="D123" s="107"/>
      <c r="E123" s="59"/>
      <c r="F123" s="184"/>
      <c r="G123" s="1154" t="s">
        <v>435</v>
      </c>
      <c r="H123" s="1155"/>
      <c r="I123" s="1156"/>
    </row>
    <row r="124" spans="1:12" ht="14.25" hidden="1" customHeight="1">
      <c r="A124" s="105">
        <v>5</v>
      </c>
      <c r="B124" s="106">
        <f>_pan5</f>
        <v>0</v>
      </c>
      <c r="C124" s="107"/>
      <c r="D124" s="107"/>
      <c r="E124" s="59"/>
      <c r="F124" s="184"/>
      <c r="G124" s="1157" t="s">
        <v>441</v>
      </c>
      <c r="H124" s="1158"/>
      <c r="I124" s="1159"/>
    </row>
    <row r="125" spans="1:12" ht="5.25" customHeight="1">
      <c r="A125" s="14"/>
      <c r="B125" s="14"/>
      <c r="C125" s="15"/>
      <c r="D125" s="15"/>
      <c r="E125" s="15"/>
      <c r="F125" s="16"/>
      <c r="G125" s="1168"/>
      <c r="H125" s="1169"/>
      <c r="I125" s="1170"/>
    </row>
    <row r="126" spans="1:12" customFormat="1" ht="5.25" customHeight="1"/>
    <row r="127" spans="1:12" ht="5.25" customHeight="1"/>
    <row r="128" spans="1:12" ht="18.75" customHeight="1">
      <c r="A128" s="869" t="s">
        <v>1126</v>
      </c>
      <c r="B128" s="869"/>
      <c r="C128" s="869"/>
      <c r="D128" s="869"/>
      <c r="E128" s="869"/>
      <c r="F128" s="869"/>
      <c r="G128" s="869"/>
      <c r="H128" s="869"/>
      <c r="I128" s="869"/>
      <c r="J128" s="70"/>
      <c r="K128" s="1177" t="s">
        <v>1127</v>
      </c>
      <c r="L128" s="70"/>
    </row>
    <row r="129" spans="1:12" ht="15" customHeight="1">
      <c r="A129" s="870" t="str">
        <f>"Nomor: "&amp;Input!$D$89</f>
        <v>Nomor: 09/1/XII/Pj.P BPKAD/2025</v>
      </c>
      <c r="B129" s="870"/>
      <c r="C129" s="870"/>
      <c r="D129" s="870"/>
      <c r="E129" s="870"/>
      <c r="F129" s="870"/>
      <c r="G129" s="870"/>
      <c r="H129" s="870"/>
      <c r="I129" s="870"/>
      <c r="J129" s="58"/>
      <c r="K129" s="1177"/>
      <c r="L129" s="58"/>
    </row>
    <row r="130" spans="1:12" customFormat="1">
      <c r="A130" s="59"/>
      <c r="B130" s="59"/>
      <c r="C130" s="59"/>
      <c r="D130" s="59"/>
      <c r="E130" s="185"/>
      <c r="F130" s="59"/>
      <c r="G130" s="59"/>
      <c r="H130" s="59"/>
      <c r="I130" s="59"/>
      <c r="J130" s="59"/>
      <c r="K130" s="1177"/>
      <c r="L130" s="59"/>
    </row>
    <row r="131" spans="1:12" customFormat="1">
      <c r="A131" s="186" t="s">
        <v>1</v>
      </c>
      <c r="B131" s="186"/>
      <c r="C131" s="186"/>
      <c r="D131" s="186"/>
      <c r="E131" s="788" t="s">
        <v>2</v>
      </c>
      <c r="F131" s="1245" t="str">
        <f>paket</f>
        <v>Belanja Pemeliharaan Bangunan Gedung-Bangunan Gedung Tempat Kerja-Bangunan Gedung Kantor-Pemeliharaan Gedung Bertingkat</v>
      </c>
      <c r="G131" s="1245"/>
      <c r="H131" s="1245"/>
      <c r="I131" s="1245"/>
      <c r="J131" s="59"/>
      <c r="K131" s="59"/>
      <c r="L131" s="59"/>
    </row>
    <row r="132" spans="1:12" customFormat="1">
      <c r="A132" s="186"/>
      <c r="B132" s="186"/>
      <c r="C132" s="186"/>
      <c r="D132" s="186"/>
      <c r="E132" s="187"/>
      <c r="F132" s="1245"/>
      <c r="G132" s="1245"/>
      <c r="H132" s="1245"/>
      <c r="I132" s="1245"/>
      <c r="J132" s="59"/>
      <c r="K132" s="59"/>
      <c r="L132" s="59"/>
    </row>
    <row r="133" spans="1:12" customFormat="1">
      <c r="A133" s="59" t="s">
        <v>1108</v>
      </c>
      <c r="B133" s="186"/>
      <c r="C133" s="186"/>
      <c r="D133" s="186"/>
      <c r="E133" s="789" t="s">
        <v>2</v>
      </c>
      <c r="F133" s="59" t="str">
        <f>opd_nama</f>
        <v>Badan Pengelolaan Keuangan dan Aset Daerah</v>
      </c>
      <c r="G133" s="59"/>
      <c r="H133" s="59"/>
      <c r="I133" s="59"/>
      <c r="J133" s="59"/>
      <c r="K133" s="59"/>
      <c r="L133" s="59"/>
    </row>
    <row r="134" spans="1:12" customFormat="1">
      <c r="A134" s="59" t="s">
        <v>18</v>
      </c>
      <c r="B134" s="186"/>
      <c r="C134" s="186"/>
      <c r="D134" s="186"/>
      <c r="E134" s="185" t="s">
        <v>2</v>
      </c>
      <c r="F134" s="59" t="str">
        <f>dana</f>
        <v>DPA</v>
      </c>
      <c r="G134" s="59"/>
      <c r="H134" s="59"/>
      <c r="I134" s="59"/>
      <c r="J134" s="59"/>
      <c r="K134" s="59"/>
      <c r="L134" s="59"/>
    </row>
    <row r="135" spans="1:12" customFormat="1">
      <c r="A135" s="59" t="s">
        <v>21</v>
      </c>
      <c r="B135" s="186"/>
      <c r="C135" s="186"/>
      <c r="D135" s="186"/>
      <c r="E135" s="185" t="s">
        <v>2</v>
      </c>
      <c r="F135" s="189" t="str">
        <f>tahun</f>
        <v>2025</v>
      </c>
      <c r="G135" s="190"/>
      <c r="H135" s="59"/>
      <c r="I135" s="59"/>
      <c r="J135" s="59"/>
      <c r="K135" s="59"/>
      <c r="L135" s="59"/>
    </row>
    <row r="136" spans="1:12" customFormat="1">
      <c r="A136" s="191" t="s">
        <v>24</v>
      </c>
      <c r="B136" s="192"/>
      <c r="C136" s="192"/>
      <c r="D136" s="192"/>
      <c r="E136" s="193" t="s">
        <v>2</v>
      </c>
      <c r="F136" s="1244">
        <f>hps</f>
        <v>69862000</v>
      </c>
      <c r="G136" s="1244"/>
      <c r="H136" s="59"/>
      <c r="I136" s="59"/>
      <c r="J136" s="59"/>
      <c r="K136" s="59"/>
      <c r="L136" s="59"/>
    </row>
    <row r="137" spans="1:12" customFormat="1">
      <c r="A137" s="191" t="s">
        <v>25</v>
      </c>
      <c r="B137" s="192"/>
      <c r="C137" s="192"/>
      <c r="D137" s="192"/>
      <c r="E137" s="193" t="s">
        <v>2</v>
      </c>
      <c r="F137" s="1244" t="str">
        <f>hsls</f>
        <v>Lumsum</v>
      </c>
      <c r="G137" s="1244"/>
      <c r="H137" s="59"/>
      <c r="I137" s="59"/>
      <c r="J137" s="59"/>
      <c r="K137" s="59"/>
      <c r="L137" s="59"/>
    </row>
    <row r="138" spans="1:12" customFormat="1">
      <c r="A138" s="191" t="s">
        <v>29</v>
      </c>
      <c r="B138" s="192"/>
      <c r="C138" s="192"/>
      <c r="D138" s="192"/>
      <c r="E138" s="193" t="s">
        <v>2</v>
      </c>
      <c r="F138" s="1246">
        <f>masa</f>
        <v>30</v>
      </c>
      <c r="G138" s="1246"/>
      <c r="H138" s="59"/>
      <c r="I138" s="59"/>
      <c r="J138" s="59"/>
      <c r="K138" s="59"/>
      <c r="L138" s="59"/>
    </row>
    <row r="139" spans="1:12" ht="5.25" customHeight="1"/>
    <row r="140" spans="1:12" customFormat="1">
      <c r="A140" s="818" t="s">
        <v>1128</v>
      </c>
      <c r="B140" s="59"/>
      <c r="C140" s="59"/>
      <c r="D140" s="59"/>
      <c r="E140" s="18"/>
      <c r="F140" s="18"/>
      <c r="G140" s="18"/>
      <c r="H140" s="18"/>
      <c r="I140" s="18"/>
      <c r="J140" s="18"/>
      <c r="K140" s="18"/>
    </row>
    <row r="141" spans="1:12" customFormat="1">
      <c r="A141" s="189"/>
      <c r="B141" s="59"/>
      <c r="C141" s="59"/>
      <c r="D141" s="59"/>
      <c r="E141" s="18"/>
      <c r="F141" s="18"/>
      <c r="G141" s="18"/>
      <c r="H141" s="18"/>
      <c r="I141" s="18"/>
      <c r="J141" s="18"/>
      <c r="K141" s="18"/>
    </row>
    <row r="142" spans="1:12" customFormat="1">
      <c r="A142" s="59"/>
      <c r="B142" s="37" t="s">
        <v>232</v>
      </c>
      <c r="C142" s="37"/>
      <c r="D142" s="37"/>
      <c r="E142" s="44" t="s">
        <v>2</v>
      </c>
      <c r="F142" s="37" t="str">
        <f>bu_nama</f>
        <v>PT. DARUSSALAM MEDIA GROUP</v>
      </c>
      <c r="G142" s="37"/>
      <c r="H142" s="37"/>
      <c r="I142" s="59"/>
      <c r="J142" s="59"/>
      <c r="K142" s="199"/>
      <c r="L142" s="59"/>
    </row>
    <row r="143" spans="1:12" customFormat="1">
      <c r="A143" s="59"/>
      <c r="B143" s="37" t="s">
        <v>188</v>
      </c>
      <c r="C143" s="37"/>
      <c r="D143" s="37"/>
      <c r="E143" s="44" t="s">
        <v>2</v>
      </c>
      <c r="F143" s="37" t="str">
        <f>bu_npwp</f>
        <v>03.990.125.5.8-911.000</v>
      </c>
      <c r="G143" s="37"/>
      <c r="H143" s="37"/>
      <c r="I143" s="59"/>
      <c r="J143" s="59"/>
      <c r="K143" s="199"/>
      <c r="L143" s="59"/>
    </row>
    <row r="144" spans="1:12" customFormat="1">
      <c r="A144" s="59"/>
      <c r="B144" s="37" t="s">
        <v>190</v>
      </c>
      <c r="C144" s="37"/>
      <c r="D144" s="37"/>
      <c r="E144" s="44" t="s">
        <v>2</v>
      </c>
      <c r="F144" s="37" t="str">
        <f>bu_almt</f>
        <v>JL Meninting 13 No.. 22C BTN Kekalik, Kel. Pagesangan Barat, Kota Mataram, Provinsi Nusa Tenggara Barat</v>
      </c>
      <c r="G144" s="37"/>
      <c r="H144" s="37"/>
      <c r="I144" s="59"/>
      <c r="J144" s="59"/>
      <c r="K144" s="199"/>
      <c r="L144" s="59"/>
    </row>
    <row r="145" spans="1:12" customFormat="1">
      <c r="A145" s="59"/>
      <c r="B145" s="37" t="s">
        <v>1110</v>
      </c>
      <c r="C145" s="37"/>
      <c r="D145" s="37"/>
      <c r="E145" s="44" t="s">
        <v>2</v>
      </c>
      <c r="F145" s="197">
        <f>bu_hp</f>
        <v>199999800</v>
      </c>
      <c r="G145" s="37"/>
      <c r="H145" s="37"/>
      <c r="I145" s="59"/>
      <c r="J145" s="59"/>
      <c r="K145" s="199"/>
      <c r="L145" s="59"/>
    </row>
    <row r="146" spans="1:12" customFormat="1">
      <c r="A146" s="59"/>
      <c r="B146" s="37" t="s">
        <v>1120</v>
      </c>
      <c r="C146" s="37"/>
      <c r="D146" s="37"/>
      <c r="E146" s="44" t="s">
        <v>2</v>
      </c>
      <c r="F146" s="197">
        <f>bu_hn</f>
        <v>69862000</v>
      </c>
      <c r="G146" s="37"/>
      <c r="H146" s="37"/>
      <c r="I146" s="59"/>
      <c r="J146" s="59"/>
      <c r="K146" s="199"/>
      <c r="L146" s="59"/>
    </row>
    <row r="147" spans="1:12" customFormat="1">
      <c r="A147" s="59"/>
      <c r="B147" s="37"/>
      <c r="C147" s="37"/>
      <c r="D147" s="37"/>
      <c r="E147" s="44"/>
      <c r="F147" s="1247" t="str">
        <f>"("&amp;bu_hn2&amp;")"</f>
        <v>(Enam Puluh Sembilan Juta Delapan Ratus Enam Puluh Dua Ribu Rupiah)</v>
      </c>
      <c r="G147" s="1247"/>
      <c r="H147" s="1247"/>
      <c r="I147" s="1247"/>
      <c r="J147" s="59"/>
      <c r="K147" s="199"/>
      <c r="L147" s="59"/>
    </row>
    <row r="148" spans="1:12" ht="15" customHeight="1">
      <c r="B148" s="37"/>
      <c r="C148" s="38"/>
      <c r="D148" s="38"/>
      <c r="E148" s="37"/>
      <c r="F148" s="37"/>
      <c r="G148" s="37"/>
      <c r="H148" s="37"/>
      <c r="I148" s="37"/>
    </row>
    <row r="149" spans="1:12" ht="15" customHeight="1">
      <c r="A149" s="37" t="s">
        <v>1125</v>
      </c>
      <c r="B149" s="37"/>
      <c r="C149" s="38"/>
      <c r="D149" s="38"/>
      <c r="E149" s="37"/>
      <c r="F149" s="37"/>
      <c r="G149" s="37"/>
      <c r="H149" s="37"/>
      <c r="I149" s="37"/>
    </row>
    <row r="150" spans="1:12" ht="15" customHeight="1">
      <c r="C150" s="43"/>
      <c r="D150" s="43"/>
      <c r="G150" s="54"/>
      <c r="H150" s="53"/>
      <c r="I150" s="53"/>
    </row>
    <row r="151" spans="1:12" ht="15" customHeight="1">
      <c r="C151" s="43"/>
      <c r="D151" s="43"/>
      <c r="G151" s="54"/>
      <c r="H151" s="44" t="str">
        <f>"Mataram, "&amp;Input!H88</f>
        <v>Mataram, 1 Agustus 2023</v>
      </c>
      <c r="I151" s="53"/>
    </row>
    <row r="152" spans="1:12" ht="15" customHeight="1">
      <c r="C152" s="43"/>
      <c r="D152" s="43"/>
      <c r="H152" s="67" t="str">
        <f>pokja&amp;" pada"</f>
        <v>Pejabat Pengadaan pada</v>
      </c>
      <c r="I152" s="53"/>
      <c r="J152" s="53"/>
    </row>
    <row r="153" spans="1:12" ht="15" customHeight="1">
      <c r="C153" s="43"/>
      <c r="D153" s="43"/>
      <c r="H153" s="54" t="str">
        <f>ukpbj</f>
        <v>Badan Pengelolaan Keuangan dan Aset Daerah</v>
      </c>
      <c r="I153" s="53"/>
      <c r="J153" s="53"/>
    </row>
    <row r="154" spans="1:12" ht="15" customHeight="1">
      <c r="C154" s="43"/>
      <c r="D154" s="43"/>
      <c r="H154" s="44"/>
      <c r="I154" s="53"/>
      <c r="J154" s="53"/>
    </row>
    <row r="155" spans="1:12" ht="15" customHeight="1">
      <c r="C155" s="43"/>
      <c r="D155" s="43"/>
      <c r="H155" s="44"/>
      <c r="I155" s="53"/>
      <c r="J155" s="53"/>
    </row>
    <row r="156" spans="1:12" ht="15" customHeight="1">
      <c r="C156" s="43"/>
      <c r="D156" s="43"/>
      <c r="H156" s="44"/>
      <c r="I156" s="53"/>
      <c r="J156" s="53"/>
    </row>
    <row r="157" spans="1:12" ht="15" customHeight="1">
      <c r="C157" s="43"/>
      <c r="D157" s="43"/>
      <c r="H157" s="55" t="str">
        <f>_pan1</f>
        <v>Surmayanti Isnaini, S.IP</v>
      </c>
      <c r="I157" s="53"/>
      <c r="J157" s="53"/>
    </row>
    <row r="158" spans="1:12" ht="15" customHeight="1">
      <c r="C158" s="43"/>
      <c r="D158" s="43"/>
      <c r="H158" s="44" t="str">
        <f>"NIP. "&amp;Input!$D$59</f>
        <v>NIP. 199201122 01406 2 001</v>
      </c>
      <c r="I158" s="53"/>
      <c r="J158" s="53"/>
    </row>
    <row r="159" spans="1:12" ht="5.25" customHeight="1"/>
    <row r="160" spans="1:12" ht="6" customHeight="1"/>
    <row r="161" spans="1:12" ht="15" customHeight="1">
      <c r="A161" s="27"/>
      <c r="B161" s="27"/>
      <c r="C161" s="27"/>
      <c r="D161" s="27"/>
      <c r="E161" s="27"/>
      <c r="F161" s="27"/>
      <c r="G161" s="27"/>
      <c r="H161" s="27"/>
      <c r="I161" s="72" t="str">
        <f>pp_lok&amp;", "&amp;TEXT(Input!$F$89,"[$-421]d mmmm yyyy")</f>
        <v>Mataram, 1 Agustus 2023</v>
      </c>
    </row>
    <row r="162" spans="1:12" ht="15" customHeight="1">
      <c r="A162" s="60" t="s">
        <v>237</v>
      </c>
      <c r="B162" s="60"/>
      <c r="C162" s="60" t="s">
        <v>2</v>
      </c>
      <c r="D162" s="60" t="str">
        <f>Input!$D$89</f>
        <v>09/1/XII/Pj.P BPKAD/2025</v>
      </c>
      <c r="E162" s="60"/>
      <c r="F162" s="60"/>
      <c r="G162" s="60"/>
      <c r="H162" s="60" t="s">
        <v>1129</v>
      </c>
      <c r="I162" s="60"/>
      <c r="J162" s="60"/>
      <c r="K162" s="71" t="s">
        <v>253</v>
      </c>
    </row>
    <row r="163" spans="1:12" ht="15" customHeight="1">
      <c r="A163" s="37" t="s">
        <v>267</v>
      </c>
      <c r="B163" s="37"/>
      <c r="C163" s="37" t="s">
        <v>2</v>
      </c>
      <c r="D163" s="37" t="s">
        <v>268</v>
      </c>
      <c r="E163" s="37"/>
      <c r="F163" s="37"/>
      <c r="G163" s="200" t="s">
        <v>1130</v>
      </c>
      <c r="H163" s="890" t="str">
        <f>ppk_jab</f>
        <v>Pejabat Pembuat Komitmen</v>
      </c>
      <c r="I163" s="890"/>
      <c r="J163" s="890"/>
    </row>
    <row r="164" spans="1:12" ht="15" customHeight="1">
      <c r="A164" s="37"/>
      <c r="B164" s="37"/>
      <c r="C164" s="37"/>
      <c r="D164" s="37"/>
      <c r="E164" s="37"/>
      <c r="F164" s="37"/>
      <c r="G164" s="37"/>
      <c r="H164" s="890"/>
      <c r="I164" s="890"/>
      <c r="J164" s="890"/>
    </row>
    <row r="165" spans="1:12" ht="15" customHeight="1">
      <c r="A165" s="37"/>
      <c r="B165" s="37"/>
      <c r="C165" s="37"/>
      <c r="D165" s="37"/>
      <c r="E165" s="37"/>
      <c r="F165" s="37"/>
      <c r="G165" s="37"/>
      <c r="H165" s="64" t="s">
        <v>849</v>
      </c>
      <c r="I165" s="64"/>
      <c r="J165" s="64"/>
    </row>
    <row r="166" spans="1:12" ht="15" customHeight="1">
      <c r="A166" s="37"/>
      <c r="B166" s="37"/>
      <c r="C166" s="37"/>
      <c r="D166" s="37"/>
      <c r="E166" s="37"/>
      <c r="F166" s="37"/>
      <c r="G166" s="37"/>
      <c r="H166" s="64" t="str">
        <f>"          "&amp;ppk_lok</f>
        <v xml:space="preserve">          Mataram</v>
      </c>
      <c r="I166" s="64"/>
      <c r="J166" s="64"/>
    </row>
    <row r="167" spans="1:12" ht="7.5" customHeight="1">
      <c r="A167" s="37"/>
      <c r="B167" s="37"/>
      <c r="C167" s="37"/>
      <c r="D167" s="37"/>
      <c r="E167" s="37"/>
      <c r="F167" s="37"/>
      <c r="G167" s="37"/>
      <c r="H167" s="37"/>
      <c r="I167" s="37"/>
      <c r="J167" s="37"/>
    </row>
    <row r="168" spans="1:12" ht="33.75" customHeight="1">
      <c r="A168" s="60" t="s">
        <v>269</v>
      </c>
      <c r="B168" s="60"/>
      <c r="C168" s="60" t="s">
        <v>2</v>
      </c>
      <c r="D168" s="1249" t="str">
        <f>"Laporan Hasil "&amp;met_pil&amp;" "&amp;paket&amp;" Tahun Anggaran "&amp;tahun</f>
        <v>Laporan Hasil Pengadaan Langsung Belanja Pemeliharaan Bangunan Gedung-Bangunan Gedung Tempat Kerja-Bangunan Gedung Kantor-Pemeliharaan Gedung Bertingkat Tahun Anggaran 2025</v>
      </c>
      <c r="E168" s="1249"/>
      <c r="F168" s="1249"/>
      <c r="G168" s="1249"/>
      <c r="H168" s="1249"/>
      <c r="I168" s="1249"/>
      <c r="J168" s="1249"/>
    </row>
    <row r="169" spans="1:12" ht="9" customHeight="1"/>
    <row r="170" spans="1:12" ht="15" customHeight="1">
      <c r="D170" s="201" t="s">
        <v>1131</v>
      </c>
      <c r="E170" s="37"/>
      <c r="F170" s="37"/>
      <c r="G170" s="37"/>
      <c r="H170" s="37"/>
      <c r="I170" s="37"/>
      <c r="J170" s="37"/>
    </row>
    <row r="171" spans="1:12" ht="15" customHeight="1">
      <c r="D171" s="201" t="s">
        <v>1132</v>
      </c>
      <c r="E171" s="37"/>
      <c r="F171" s="37"/>
      <c r="G171" s="37"/>
      <c r="H171" s="37"/>
      <c r="I171" s="37"/>
      <c r="J171" s="37"/>
    </row>
    <row r="172" spans="1:12" ht="15" customHeight="1">
      <c r="D172" s="1021" t="str">
        <f>"Berdasarkan surat "&amp;ppk_jab&amp;" nomor "&amp;Input!D76&amp;" tanggal "&amp;Input!H76&amp;" dan Berita Acara Hasil "&amp;met_pil&amp;" nomor "&amp;Input!D86&amp;" tanggal "&amp;Input!H86&amp;" dengan ini disampaikan calon penyedia sebagai berikut:"</f>
        <v>Berdasarkan surat Pejabat Pembuat Komitmen nomor 027.1/01.PPK/BPKAD/2025 tanggal 6 Oktober 2025 dan Berita Acara Hasil Pengadaan Langsung nomor 06/1/XII/Pj.P BPKAD/2025 tanggal 1 Agustus 2023 dengan ini disampaikan calon penyedia sebagai berikut:</v>
      </c>
      <c r="E172" s="1021"/>
      <c r="F172" s="1021"/>
      <c r="G172" s="1021"/>
      <c r="H172" s="1021"/>
      <c r="I172" s="1021"/>
      <c r="J172" s="1021"/>
      <c r="K172" s="64"/>
      <c r="L172" s="64"/>
    </row>
    <row r="173" spans="1:12" ht="15" customHeight="1">
      <c r="A173" s="64"/>
      <c r="B173" s="64"/>
      <c r="C173" s="64"/>
      <c r="D173" s="1021"/>
      <c r="E173" s="1021"/>
      <c r="F173" s="1021"/>
      <c r="G173" s="1021"/>
      <c r="H173" s="1021"/>
      <c r="I173" s="1021"/>
      <c r="J173" s="1021"/>
    </row>
    <row r="174" spans="1:12">
      <c r="A174" s="64"/>
      <c r="B174" s="64"/>
      <c r="C174" s="64"/>
      <c r="D174" s="1021"/>
      <c r="E174" s="1021"/>
      <c r="F174" s="1021"/>
      <c r="G174" s="1021"/>
      <c r="H174" s="1021"/>
      <c r="I174" s="1021"/>
      <c r="J174" s="1021"/>
    </row>
    <row r="175" spans="1:12" ht="6" customHeight="1">
      <c r="C175" s="43"/>
      <c r="D175" s="43"/>
      <c r="H175" s="44"/>
      <c r="I175" s="53"/>
      <c r="J175" s="53"/>
    </row>
    <row r="176" spans="1:12" customFormat="1">
      <c r="A176" s="59"/>
      <c r="C176" s="37"/>
      <c r="D176" s="37" t="s">
        <v>232</v>
      </c>
      <c r="E176" s="44" t="s">
        <v>2</v>
      </c>
      <c r="F176" s="37" t="str">
        <f>bu_nama</f>
        <v>PT. DARUSSALAM MEDIA GROUP</v>
      </c>
      <c r="G176" s="37"/>
      <c r="H176" s="37"/>
      <c r="I176" s="59"/>
      <c r="J176" s="59"/>
      <c r="K176" s="199"/>
      <c r="L176" s="59"/>
    </row>
    <row r="177" spans="1:12" customFormat="1">
      <c r="A177" s="59"/>
      <c r="C177" s="37"/>
      <c r="D177" s="37" t="s">
        <v>188</v>
      </c>
      <c r="E177" s="44" t="s">
        <v>2</v>
      </c>
      <c r="F177" s="37" t="str">
        <f>bu_npwp</f>
        <v>03.990.125.5.8-911.000</v>
      </c>
      <c r="G177" s="37"/>
      <c r="H177" s="37"/>
      <c r="I177" s="59"/>
      <c r="J177" s="59"/>
      <c r="K177" s="199"/>
      <c r="L177" s="59"/>
    </row>
    <row r="178" spans="1:12" customFormat="1">
      <c r="A178" s="59"/>
      <c r="C178" s="37"/>
      <c r="D178" s="37" t="s">
        <v>190</v>
      </c>
      <c r="E178" s="44" t="s">
        <v>2</v>
      </c>
      <c r="F178" s="37" t="str">
        <f>bu_almt</f>
        <v>JL Meninting 13 No.. 22C BTN Kekalik, Kel. Pagesangan Barat, Kota Mataram, Provinsi Nusa Tenggara Barat</v>
      </c>
      <c r="G178" s="37"/>
      <c r="H178" s="37"/>
      <c r="I178" s="59"/>
      <c r="J178" s="59"/>
      <c r="K178" s="199"/>
      <c r="L178" s="59"/>
    </row>
    <row r="179" spans="1:12" customFormat="1">
      <c r="A179" s="59"/>
      <c r="C179" s="37"/>
      <c r="D179" s="37" t="s">
        <v>1120</v>
      </c>
      <c r="E179" s="44" t="s">
        <v>2</v>
      </c>
      <c r="F179" s="197">
        <f>bu_hn</f>
        <v>69862000</v>
      </c>
      <c r="G179" s="37"/>
      <c r="H179" s="37"/>
      <c r="I179" s="59"/>
      <c r="J179" s="59"/>
      <c r="K179" s="199"/>
      <c r="L179" s="59"/>
    </row>
    <row r="180" spans="1:12" customFormat="1">
      <c r="A180" s="59"/>
      <c r="B180" s="37"/>
      <c r="C180" s="37"/>
      <c r="D180" s="37"/>
      <c r="E180" s="44"/>
      <c r="F180" s="1247" t="str">
        <f>"("&amp;bu_hn2&amp;")"</f>
        <v>(Enam Puluh Sembilan Juta Delapan Ratus Enam Puluh Dua Ribu Rupiah)</v>
      </c>
      <c r="G180" s="1247"/>
      <c r="H180" s="1247"/>
      <c r="I180" s="1247"/>
      <c r="J180" s="59"/>
      <c r="K180" s="199"/>
      <c r="L180" s="59"/>
    </row>
    <row r="181" spans="1:12" ht="15" customHeight="1">
      <c r="B181" s="37"/>
      <c r="C181" s="38"/>
      <c r="D181" s="38"/>
      <c r="E181" s="37"/>
      <c r="F181" s="37"/>
      <c r="G181" s="37"/>
      <c r="H181" s="37"/>
      <c r="I181" s="37"/>
    </row>
    <row r="182" spans="1:12" ht="15" customHeight="1">
      <c r="C182" s="43"/>
      <c r="D182" s="1248" t="s">
        <v>1133</v>
      </c>
      <c r="E182" s="1248"/>
      <c r="F182" s="1248"/>
      <c r="G182" s="1248"/>
      <c r="H182" s="1248"/>
      <c r="I182" s="1248"/>
      <c r="J182" s="1248"/>
    </row>
    <row r="183" spans="1:12" ht="15" customHeight="1">
      <c r="C183" s="43"/>
      <c r="D183" s="1248"/>
      <c r="E183" s="1248"/>
      <c r="F183" s="1248"/>
      <c r="G183" s="1248"/>
      <c r="H183" s="1248"/>
      <c r="I183" s="1248"/>
      <c r="J183" s="1248"/>
    </row>
    <row r="184" spans="1:12" ht="15" customHeight="1">
      <c r="C184" s="43"/>
      <c r="D184" s="1248"/>
      <c r="E184" s="1248"/>
      <c r="F184" s="1248"/>
      <c r="G184" s="1248"/>
      <c r="H184" s="1248"/>
      <c r="I184" s="1248"/>
      <c r="J184" s="1248"/>
    </row>
    <row r="185" spans="1:12" ht="15" customHeight="1">
      <c r="C185" s="43"/>
      <c r="D185" s="202" t="str">
        <f>"Adapun Hasil Proses "&amp;met_pil&amp;" terlampir."</f>
        <v>Adapun Hasil Proses Pengadaan Langsung terlampir.</v>
      </c>
      <c r="H185" s="44"/>
      <c r="I185" s="53"/>
      <c r="J185" s="53"/>
    </row>
    <row r="186" spans="1:12" ht="15" customHeight="1">
      <c r="C186" s="43"/>
      <c r="D186" s="202" t="s">
        <v>1134</v>
      </c>
      <c r="H186" s="44"/>
      <c r="I186" s="53"/>
      <c r="J186" s="53"/>
    </row>
    <row r="187" spans="1:12" ht="6" customHeight="1">
      <c r="C187" s="43"/>
      <c r="D187" s="43"/>
      <c r="H187" s="54"/>
      <c r="I187" s="53"/>
      <c r="J187" s="53"/>
    </row>
    <row r="188" spans="1:12" ht="15" customHeight="1">
      <c r="C188" s="43"/>
      <c r="D188" s="203" t="s">
        <v>1135</v>
      </c>
      <c r="H188" s="54"/>
      <c r="I188" s="53"/>
      <c r="J188" s="53"/>
    </row>
    <row r="189" spans="1:12" ht="6" customHeight="1">
      <c r="C189" s="43"/>
      <c r="D189" s="43"/>
      <c r="H189" s="54"/>
      <c r="I189" s="53"/>
      <c r="J189" s="53"/>
    </row>
    <row r="190" spans="1:12" ht="15" customHeight="1">
      <c r="C190" s="43"/>
      <c r="D190" s="43"/>
      <c r="H190" s="67" t="str">
        <f>pokja&amp;" pada"</f>
        <v>Pejabat Pengadaan pada</v>
      </c>
      <c r="I190" s="53"/>
      <c r="J190" s="53"/>
    </row>
    <row r="191" spans="1:12" ht="15" customHeight="1">
      <c r="C191" s="43"/>
      <c r="D191" s="43"/>
      <c r="H191" s="67" t="str">
        <f>ukpbj</f>
        <v>Badan Pengelolaan Keuangan dan Aset Daerah</v>
      </c>
      <c r="I191" s="53"/>
      <c r="J191" s="53"/>
    </row>
    <row r="192" spans="1:12" ht="15" customHeight="1">
      <c r="C192" s="43"/>
      <c r="D192" s="43"/>
      <c r="H192" s="204"/>
      <c r="I192" s="53"/>
      <c r="J192" s="53"/>
    </row>
    <row r="193" spans="1:10" ht="15" customHeight="1">
      <c r="C193" s="43"/>
      <c r="D193" s="43"/>
      <c r="H193" s="44"/>
      <c r="I193" s="53"/>
      <c r="J193" s="53"/>
    </row>
    <row r="194" spans="1:10" ht="15" customHeight="1">
      <c r="C194" s="43"/>
      <c r="D194" s="43"/>
      <c r="H194" s="44"/>
      <c r="I194" s="53"/>
      <c r="J194" s="53"/>
    </row>
    <row r="195" spans="1:10" ht="15" customHeight="1">
      <c r="C195" s="43"/>
      <c r="D195" s="43"/>
      <c r="H195" s="55" t="str">
        <f>_pan1</f>
        <v>Surmayanti Isnaini, S.IP</v>
      </c>
      <c r="I195" s="53"/>
      <c r="J195" s="53"/>
    </row>
    <row r="196" spans="1:10" ht="15" customHeight="1">
      <c r="C196" s="43"/>
      <c r="D196" s="43"/>
      <c r="H196" s="44" t="str">
        <f>"NIP. "&amp;pp_nip</f>
        <v>NIP. 199201122 01406 2 001</v>
      </c>
      <c r="I196" s="53"/>
      <c r="J196" s="53"/>
    </row>
    <row r="197" spans="1:10" ht="15" customHeight="1">
      <c r="A197" s="37" t="s">
        <v>265</v>
      </c>
      <c r="B197" s="38"/>
      <c r="C197" s="38"/>
      <c r="D197" s="37"/>
      <c r="E197" s="37"/>
      <c r="F197" s="37"/>
      <c r="G197" s="37"/>
      <c r="H197" s="37"/>
      <c r="I197" s="37"/>
    </row>
    <row r="198" spans="1:10" ht="15" customHeight="1">
      <c r="A198" s="37" t="str">
        <f>"1. "&amp;pa_jab&amp;" di "&amp;pa_lok&amp;";"</f>
        <v>1. Kepala Badan Pengelolaan Keuangan dan Aset Daerah di Mataram;</v>
      </c>
      <c r="B198" s="38"/>
      <c r="C198" s="38"/>
      <c r="D198" s="37"/>
      <c r="E198" s="37"/>
      <c r="F198" s="37"/>
      <c r="G198" s="39"/>
      <c r="H198" s="37"/>
      <c r="I198" s="37"/>
      <c r="J198" s="205"/>
    </row>
    <row r="199" spans="1:10" ht="15" customHeight="1">
      <c r="A199" s="37" t="s">
        <v>266</v>
      </c>
      <c r="B199" s="38"/>
      <c r="C199" s="38"/>
      <c r="D199" s="37"/>
      <c r="E199" s="37"/>
      <c r="F199" s="37"/>
      <c r="G199" s="37"/>
      <c r="H199" s="37"/>
      <c r="I199" s="37"/>
    </row>
    <row r="200" spans="1:10">
      <c r="C200" s="43"/>
      <c r="D200" s="43"/>
      <c r="G200" s="44"/>
      <c r="H200" s="53"/>
      <c r="I200" s="53"/>
    </row>
    <row r="201" spans="1:10">
      <c r="C201" s="43"/>
      <c r="D201" s="43"/>
      <c r="G201" s="44"/>
      <c r="H201" s="53"/>
      <c r="I201" s="53"/>
    </row>
  </sheetData>
  <mergeCells count="77">
    <mergeCell ref="K87:K89"/>
    <mergeCell ref="K128:K130"/>
    <mergeCell ref="D172:J174"/>
    <mergeCell ref="D182:J184"/>
    <mergeCell ref="F131:I132"/>
    <mergeCell ref="H163:J164"/>
    <mergeCell ref="F90:I91"/>
    <mergeCell ref="B102:I103"/>
    <mergeCell ref="B104:I105"/>
    <mergeCell ref="F137:G137"/>
    <mergeCell ref="F138:G138"/>
    <mergeCell ref="F147:I147"/>
    <mergeCell ref="D168:J168"/>
    <mergeCell ref="F180:I180"/>
    <mergeCell ref="G124:I124"/>
    <mergeCell ref="G125:I125"/>
    <mergeCell ref="A128:I128"/>
    <mergeCell ref="A129:I129"/>
    <mergeCell ref="F136:G136"/>
    <mergeCell ref="G119:I119"/>
    <mergeCell ref="G120:I120"/>
    <mergeCell ref="G121:I121"/>
    <mergeCell ref="G122:I122"/>
    <mergeCell ref="G123:I123"/>
    <mergeCell ref="F97:G97"/>
    <mergeCell ref="A99:I99"/>
    <mergeCell ref="B101:I101"/>
    <mergeCell ref="F114:I114"/>
    <mergeCell ref="B118:F118"/>
    <mergeCell ref="G118:I118"/>
    <mergeCell ref="G84:I84"/>
    <mergeCell ref="A87:I87"/>
    <mergeCell ref="A88:I88"/>
    <mergeCell ref="F95:G95"/>
    <mergeCell ref="F96:G96"/>
    <mergeCell ref="G79:I79"/>
    <mergeCell ref="G80:I80"/>
    <mergeCell ref="G81:I81"/>
    <mergeCell ref="G82:I82"/>
    <mergeCell ref="G83:I83"/>
    <mergeCell ref="F48:G48"/>
    <mergeCell ref="F49:G49"/>
    <mergeCell ref="B77:F77"/>
    <mergeCell ref="G77:I77"/>
    <mergeCell ref="G78:I78"/>
    <mergeCell ref="A51:I52"/>
    <mergeCell ref="B71:I72"/>
    <mergeCell ref="A74:I75"/>
    <mergeCell ref="G35:I35"/>
    <mergeCell ref="G36:I36"/>
    <mergeCell ref="A39:I39"/>
    <mergeCell ref="A40:I40"/>
    <mergeCell ref="F47:G47"/>
    <mergeCell ref="F42:I43"/>
    <mergeCell ref="G31:I31"/>
    <mergeCell ref="G32:I32"/>
    <mergeCell ref="B33:F33"/>
    <mergeCell ref="G33:I33"/>
    <mergeCell ref="G34:I34"/>
    <mergeCell ref="G26:I26"/>
    <mergeCell ref="G27:I27"/>
    <mergeCell ref="G28:I28"/>
    <mergeCell ref="G29:I29"/>
    <mergeCell ref="G30:I30"/>
    <mergeCell ref="A8:J8"/>
    <mergeCell ref="A9:J9"/>
    <mergeCell ref="A10:J10"/>
    <mergeCell ref="A23:J23"/>
    <mergeCell ref="B25:F25"/>
    <mergeCell ref="G25:I25"/>
    <mergeCell ref="A12:J15"/>
    <mergeCell ref="B19:J20"/>
    <mergeCell ref="D1:I1"/>
    <mergeCell ref="D2:I2"/>
    <mergeCell ref="D3:I3"/>
    <mergeCell ref="A6:J6"/>
    <mergeCell ref="A7:J7"/>
  </mergeCells>
  <hyperlinks>
    <hyperlink ref="K162" location="Input!A72" display="balik ke input" xr:uid="{00000000-0004-0000-0D00-000000000000}"/>
    <hyperlink ref="K40" location="Input!A72" display="balik ke input" xr:uid="{00000000-0004-0000-0D00-000001000000}"/>
    <hyperlink ref="K10" location="Input!A72" display="balik ke input" xr:uid="{00000000-0004-0000-0D00-000002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rowBreaks count="4" manualBreakCount="4">
    <brk id="37" max="8" man="1"/>
    <brk id="85" max="8" man="1"/>
    <brk id="126" max="8" man="1"/>
    <brk id="159" max="8" man="1"/>
  </rowBreaks>
  <colBreaks count="1" manualBreakCount="1">
    <brk id="9" max="48"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rgb="FF00B0F0"/>
  </sheetPr>
  <dimension ref="A1:N262"/>
  <sheetViews>
    <sheetView view="pageBreakPreview" topLeftCell="A113" zoomScale="130" zoomScaleNormal="100" workbookViewId="0">
      <selection activeCell="L116" sqref="L116"/>
    </sheetView>
  </sheetViews>
  <sheetFormatPr defaultColWidth="9" defaultRowHeight="14.25"/>
  <cols>
    <col min="1" max="1" width="4.53125" style="18" customWidth="1"/>
    <col min="2" max="2" width="5.796875" style="18" customWidth="1"/>
    <col min="3" max="3" width="2" style="18" customWidth="1"/>
    <col min="4" max="4" width="12.53125" style="18" customWidth="1"/>
    <col min="5" max="5" width="1.86328125" style="18" customWidth="1"/>
    <col min="6" max="6" width="16" style="18" customWidth="1"/>
    <col min="7" max="7" width="1.53125" style="18" customWidth="1"/>
    <col min="8" max="9" width="9.86328125" style="18" customWidth="1"/>
    <col min="10" max="10" width="10.796875" style="18" customWidth="1"/>
    <col min="11" max="11" width="12.86328125" style="18" customWidth="1"/>
    <col min="12" max="12" width="15" style="18" customWidth="1"/>
    <col min="13" max="258" width="9" style="18"/>
    <col min="259" max="259" width="9.86328125" style="18" customWidth="1"/>
    <col min="260" max="260" width="2" style="18" customWidth="1"/>
    <col min="261" max="261" width="12.53125" style="18" customWidth="1"/>
    <col min="262" max="262" width="1.86328125" style="18" customWidth="1"/>
    <col min="263" max="263" width="2" style="18" customWidth="1"/>
    <col min="264" max="264" width="16" style="18" customWidth="1"/>
    <col min="265" max="265" width="26" style="18" customWidth="1"/>
    <col min="266" max="266" width="9" style="18"/>
    <col min="267" max="267" width="9" style="18" customWidth="1"/>
    <col min="268" max="514" width="9" style="18"/>
    <col min="515" max="515" width="9.86328125" style="18" customWidth="1"/>
    <col min="516" max="516" width="2" style="18" customWidth="1"/>
    <col min="517" max="517" width="12.53125" style="18" customWidth="1"/>
    <col min="518" max="518" width="1.86328125" style="18" customWidth="1"/>
    <col min="519" max="519" width="2" style="18" customWidth="1"/>
    <col min="520" max="520" width="16" style="18" customWidth="1"/>
    <col min="521" max="521" width="26" style="18" customWidth="1"/>
    <col min="522" max="522" width="9" style="18"/>
    <col min="523" max="523" width="9" style="18" customWidth="1"/>
    <col min="524" max="770" width="9" style="18"/>
    <col min="771" max="771" width="9.86328125" style="18" customWidth="1"/>
    <col min="772" max="772" width="2" style="18" customWidth="1"/>
    <col min="773" max="773" width="12.53125" style="18" customWidth="1"/>
    <col min="774" max="774" width="1.86328125" style="18" customWidth="1"/>
    <col min="775" max="775" width="2" style="18" customWidth="1"/>
    <col min="776" max="776" width="16" style="18" customWidth="1"/>
    <col min="777" max="777" width="26" style="18" customWidth="1"/>
    <col min="778" max="778" width="9" style="18"/>
    <col min="779" max="779" width="9" style="18" customWidth="1"/>
    <col min="780" max="1026" width="9" style="18"/>
    <col min="1027" max="1027" width="9.86328125" style="18" customWidth="1"/>
    <col min="1028" max="1028" width="2" style="18" customWidth="1"/>
    <col min="1029" max="1029" width="12.53125" style="18" customWidth="1"/>
    <col min="1030" max="1030" width="1.86328125" style="18" customWidth="1"/>
    <col min="1031" max="1031" width="2" style="18" customWidth="1"/>
    <col min="1032" max="1032" width="16" style="18" customWidth="1"/>
    <col min="1033" max="1033" width="26" style="18" customWidth="1"/>
    <col min="1034" max="1034" width="9" style="18"/>
    <col min="1035" max="1035" width="9" style="18" customWidth="1"/>
    <col min="1036" max="1282" width="9" style="18"/>
    <col min="1283" max="1283" width="9.86328125" style="18" customWidth="1"/>
    <col min="1284" max="1284" width="2" style="18" customWidth="1"/>
    <col min="1285" max="1285" width="12.53125" style="18" customWidth="1"/>
    <col min="1286" max="1286" width="1.86328125" style="18" customWidth="1"/>
    <col min="1287" max="1287" width="2" style="18" customWidth="1"/>
    <col min="1288" max="1288" width="16" style="18" customWidth="1"/>
    <col min="1289" max="1289" width="26" style="18" customWidth="1"/>
    <col min="1290" max="1290" width="9" style="18"/>
    <col min="1291" max="1291" width="9" style="18" customWidth="1"/>
    <col min="1292" max="1538" width="9" style="18"/>
    <col min="1539" max="1539" width="9.86328125" style="18" customWidth="1"/>
    <col min="1540" max="1540" width="2" style="18" customWidth="1"/>
    <col min="1541" max="1541" width="12.53125" style="18" customWidth="1"/>
    <col min="1542" max="1542" width="1.86328125" style="18" customWidth="1"/>
    <col min="1543" max="1543" width="2" style="18" customWidth="1"/>
    <col min="1544" max="1544" width="16" style="18" customWidth="1"/>
    <col min="1545" max="1545" width="26" style="18" customWidth="1"/>
    <col min="1546" max="1546" width="9" style="18"/>
    <col min="1547" max="1547" width="9" style="18" customWidth="1"/>
    <col min="1548" max="1794" width="9" style="18"/>
    <col min="1795" max="1795" width="9.86328125" style="18" customWidth="1"/>
    <col min="1796" max="1796" width="2" style="18" customWidth="1"/>
    <col min="1797" max="1797" width="12.53125" style="18" customWidth="1"/>
    <col min="1798" max="1798" width="1.86328125" style="18" customWidth="1"/>
    <col min="1799" max="1799" width="2" style="18" customWidth="1"/>
    <col min="1800" max="1800" width="16" style="18" customWidth="1"/>
    <col min="1801" max="1801" width="26" style="18" customWidth="1"/>
    <col min="1802" max="1802" width="9" style="18"/>
    <col min="1803" max="1803" width="9" style="18" customWidth="1"/>
    <col min="1804" max="2050" width="9" style="18"/>
    <col min="2051" max="2051" width="9.86328125" style="18" customWidth="1"/>
    <col min="2052" max="2052" width="2" style="18" customWidth="1"/>
    <col min="2053" max="2053" width="12.53125" style="18" customWidth="1"/>
    <col min="2054" max="2054" width="1.86328125" style="18" customWidth="1"/>
    <col min="2055" max="2055" width="2" style="18" customWidth="1"/>
    <col min="2056" max="2056" width="16" style="18" customWidth="1"/>
    <col min="2057" max="2057" width="26" style="18" customWidth="1"/>
    <col min="2058" max="2058" width="9" style="18"/>
    <col min="2059" max="2059" width="9" style="18" customWidth="1"/>
    <col min="2060" max="2306" width="9" style="18"/>
    <col min="2307" max="2307" width="9.86328125" style="18" customWidth="1"/>
    <col min="2308" max="2308" width="2" style="18" customWidth="1"/>
    <col min="2309" max="2309" width="12.53125" style="18" customWidth="1"/>
    <col min="2310" max="2310" width="1.86328125" style="18" customWidth="1"/>
    <col min="2311" max="2311" width="2" style="18" customWidth="1"/>
    <col min="2312" max="2312" width="16" style="18" customWidth="1"/>
    <col min="2313" max="2313" width="26" style="18" customWidth="1"/>
    <col min="2314" max="2314" width="9" style="18"/>
    <col min="2315" max="2315" width="9" style="18" customWidth="1"/>
    <col min="2316" max="2562" width="9" style="18"/>
    <col min="2563" max="2563" width="9.86328125" style="18" customWidth="1"/>
    <col min="2564" max="2564" width="2" style="18" customWidth="1"/>
    <col min="2565" max="2565" width="12.53125" style="18" customWidth="1"/>
    <col min="2566" max="2566" width="1.86328125" style="18" customWidth="1"/>
    <col min="2567" max="2567" width="2" style="18" customWidth="1"/>
    <col min="2568" max="2568" width="16" style="18" customWidth="1"/>
    <col min="2569" max="2569" width="26" style="18" customWidth="1"/>
    <col min="2570" max="2570" width="9" style="18"/>
    <col min="2571" max="2571" width="9" style="18" customWidth="1"/>
    <col min="2572" max="2818" width="9" style="18"/>
    <col min="2819" max="2819" width="9.86328125" style="18" customWidth="1"/>
    <col min="2820" max="2820" width="2" style="18" customWidth="1"/>
    <col min="2821" max="2821" width="12.53125" style="18" customWidth="1"/>
    <col min="2822" max="2822" width="1.86328125" style="18" customWidth="1"/>
    <col min="2823" max="2823" width="2" style="18" customWidth="1"/>
    <col min="2824" max="2824" width="16" style="18" customWidth="1"/>
    <col min="2825" max="2825" width="26" style="18" customWidth="1"/>
    <col min="2826" max="2826" width="9" style="18"/>
    <col min="2827" max="2827" width="9" style="18" customWidth="1"/>
    <col min="2828" max="3074" width="9" style="18"/>
    <col min="3075" max="3075" width="9.86328125" style="18" customWidth="1"/>
    <col min="3076" max="3076" width="2" style="18" customWidth="1"/>
    <col min="3077" max="3077" width="12.53125" style="18" customWidth="1"/>
    <col min="3078" max="3078" width="1.86328125" style="18" customWidth="1"/>
    <col min="3079" max="3079" width="2" style="18" customWidth="1"/>
    <col min="3080" max="3080" width="16" style="18" customWidth="1"/>
    <col min="3081" max="3081" width="26" style="18" customWidth="1"/>
    <col min="3082" max="3082" width="9" style="18"/>
    <col min="3083" max="3083" width="9" style="18" customWidth="1"/>
    <col min="3084" max="3330" width="9" style="18"/>
    <col min="3331" max="3331" width="9.86328125" style="18" customWidth="1"/>
    <col min="3332" max="3332" width="2" style="18" customWidth="1"/>
    <col min="3333" max="3333" width="12.53125" style="18" customWidth="1"/>
    <col min="3334" max="3334" width="1.86328125" style="18" customWidth="1"/>
    <col min="3335" max="3335" width="2" style="18" customWidth="1"/>
    <col min="3336" max="3336" width="16" style="18" customWidth="1"/>
    <col min="3337" max="3337" width="26" style="18" customWidth="1"/>
    <col min="3338" max="3338" width="9" style="18"/>
    <col min="3339" max="3339" width="9" style="18" customWidth="1"/>
    <col min="3340" max="3586" width="9" style="18"/>
    <col min="3587" max="3587" width="9.86328125" style="18" customWidth="1"/>
    <col min="3588" max="3588" width="2" style="18" customWidth="1"/>
    <col min="3589" max="3589" width="12.53125" style="18" customWidth="1"/>
    <col min="3590" max="3590" width="1.86328125" style="18" customWidth="1"/>
    <col min="3591" max="3591" width="2" style="18" customWidth="1"/>
    <col min="3592" max="3592" width="16" style="18" customWidth="1"/>
    <col min="3593" max="3593" width="26" style="18" customWidth="1"/>
    <col min="3594" max="3594" width="9" style="18"/>
    <col min="3595" max="3595" width="9" style="18" customWidth="1"/>
    <col min="3596" max="3842" width="9" style="18"/>
    <col min="3843" max="3843" width="9.86328125" style="18" customWidth="1"/>
    <col min="3844" max="3844" width="2" style="18" customWidth="1"/>
    <col min="3845" max="3845" width="12.53125" style="18" customWidth="1"/>
    <col min="3846" max="3846" width="1.86328125" style="18" customWidth="1"/>
    <col min="3847" max="3847" width="2" style="18" customWidth="1"/>
    <col min="3848" max="3848" width="16" style="18" customWidth="1"/>
    <col min="3849" max="3849" width="26" style="18" customWidth="1"/>
    <col min="3850" max="3850" width="9" style="18"/>
    <col min="3851" max="3851" width="9" style="18" customWidth="1"/>
    <col min="3852" max="4098" width="9" style="18"/>
    <col min="4099" max="4099" width="9.86328125" style="18" customWidth="1"/>
    <col min="4100" max="4100" width="2" style="18" customWidth="1"/>
    <col min="4101" max="4101" width="12.53125" style="18" customWidth="1"/>
    <col min="4102" max="4102" width="1.86328125" style="18" customWidth="1"/>
    <col min="4103" max="4103" width="2" style="18" customWidth="1"/>
    <col min="4104" max="4104" width="16" style="18" customWidth="1"/>
    <col min="4105" max="4105" width="26" style="18" customWidth="1"/>
    <col min="4106" max="4106" width="9" style="18"/>
    <col min="4107" max="4107" width="9" style="18" customWidth="1"/>
    <col min="4108" max="4354" width="9" style="18"/>
    <col min="4355" max="4355" width="9.86328125" style="18" customWidth="1"/>
    <col min="4356" max="4356" width="2" style="18" customWidth="1"/>
    <col min="4357" max="4357" width="12.53125" style="18" customWidth="1"/>
    <col min="4358" max="4358" width="1.86328125" style="18" customWidth="1"/>
    <col min="4359" max="4359" width="2" style="18" customWidth="1"/>
    <col min="4360" max="4360" width="16" style="18" customWidth="1"/>
    <col min="4361" max="4361" width="26" style="18" customWidth="1"/>
    <col min="4362" max="4362" width="9" style="18"/>
    <col min="4363" max="4363" width="9" style="18" customWidth="1"/>
    <col min="4364" max="4610" width="9" style="18"/>
    <col min="4611" max="4611" width="9.86328125" style="18" customWidth="1"/>
    <col min="4612" max="4612" width="2" style="18" customWidth="1"/>
    <col min="4613" max="4613" width="12.53125" style="18" customWidth="1"/>
    <col min="4614" max="4614" width="1.86328125" style="18" customWidth="1"/>
    <col min="4615" max="4615" width="2" style="18" customWidth="1"/>
    <col min="4616" max="4616" width="16" style="18" customWidth="1"/>
    <col min="4617" max="4617" width="26" style="18" customWidth="1"/>
    <col min="4618" max="4618" width="9" style="18"/>
    <col min="4619" max="4619" width="9" style="18" customWidth="1"/>
    <col min="4620" max="4866" width="9" style="18"/>
    <col min="4867" max="4867" width="9.86328125" style="18" customWidth="1"/>
    <col min="4868" max="4868" width="2" style="18" customWidth="1"/>
    <col min="4869" max="4869" width="12.53125" style="18" customWidth="1"/>
    <col min="4870" max="4870" width="1.86328125" style="18" customWidth="1"/>
    <col min="4871" max="4871" width="2" style="18" customWidth="1"/>
    <col min="4872" max="4872" width="16" style="18" customWidth="1"/>
    <col min="4873" max="4873" width="26" style="18" customWidth="1"/>
    <col min="4874" max="4874" width="9" style="18"/>
    <col min="4875" max="4875" width="9" style="18" customWidth="1"/>
    <col min="4876" max="5122" width="9" style="18"/>
    <col min="5123" max="5123" width="9.86328125" style="18" customWidth="1"/>
    <col min="5124" max="5124" width="2" style="18" customWidth="1"/>
    <col min="5125" max="5125" width="12.53125" style="18" customWidth="1"/>
    <col min="5126" max="5126" width="1.86328125" style="18" customWidth="1"/>
    <col min="5127" max="5127" width="2" style="18" customWidth="1"/>
    <col min="5128" max="5128" width="16" style="18" customWidth="1"/>
    <col min="5129" max="5129" width="26" style="18" customWidth="1"/>
    <col min="5130" max="5130" width="9" style="18"/>
    <col min="5131" max="5131" width="9" style="18" customWidth="1"/>
    <col min="5132" max="5378" width="9" style="18"/>
    <col min="5379" max="5379" width="9.86328125" style="18" customWidth="1"/>
    <col min="5380" max="5380" width="2" style="18" customWidth="1"/>
    <col min="5381" max="5381" width="12.53125" style="18" customWidth="1"/>
    <col min="5382" max="5382" width="1.86328125" style="18" customWidth="1"/>
    <col min="5383" max="5383" width="2" style="18" customWidth="1"/>
    <col min="5384" max="5384" width="16" style="18" customWidth="1"/>
    <col min="5385" max="5385" width="26" style="18" customWidth="1"/>
    <col min="5386" max="5386" width="9" style="18"/>
    <col min="5387" max="5387" width="9" style="18" customWidth="1"/>
    <col min="5388" max="5634" width="9" style="18"/>
    <col min="5635" max="5635" width="9.86328125" style="18" customWidth="1"/>
    <col min="5636" max="5636" width="2" style="18" customWidth="1"/>
    <col min="5637" max="5637" width="12.53125" style="18" customWidth="1"/>
    <col min="5638" max="5638" width="1.86328125" style="18" customWidth="1"/>
    <col min="5639" max="5639" width="2" style="18" customWidth="1"/>
    <col min="5640" max="5640" width="16" style="18" customWidth="1"/>
    <col min="5641" max="5641" width="26" style="18" customWidth="1"/>
    <col min="5642" max="5642" width="9" style="18"/>
    <col min="5643" max="5643" width="9" style="18" customWidth="1"/>
    <col min="5644" max="5890" width="9" style="18"/>
    <col min="5891" max="5891" width="9.86328125" style="18" customWidth="1"/>
    <col min="5892" max="5892" width="2" style="18" customWidth="1"/>
    <col min="5893" max="5893" width="12.53125" style="18" customWidth="1"/>
    <col min="5894" max="5894" width="1.86328125" style="18" customWidth="1"/>
    <col min="5895" max="5895" width="2" style="18" customWidth="1"/>
    <col min="5896" max="5896" width="16" style="18" customWidth="1"/>
    <col min="5897" max="5897" width="26" style="18" customWidth="1"/>
    <col min="5898" max="5898" width="9" style="18"/>
    <col min="5899" max="5899" width="9" style="18" customWidth="1"/>
    <col min="5900" max="6146" width="9" style="18"/>
    <col min="6147" max="6147" width="9.86328125" style="18" customWidth="1"/>
    <col min="6148" max="6148" width="2" style="18" customWidth="1"/>
    <col min="6149" max="6149" width="12.53125" style="18" customWidth="1"/>
    <col min="6150" max="6150" width="1.86328125" style="18" customWidth="1"/>
    <col min="6151" max="6151" width="2" style="18" customWidth="1"/>
    <col min="6152" max="6152" width="16" style="18" customWidth="1"/>
    <col min="6153" max="6153" width="26" style="18" customWidth="1"/>
    <col min="6154" max="6154" width="9" style="18"/>
    <col min="6155" max="6155" width="9" style="18" customWidth="1"/>
    <col min="6156" max="6402" width="9" style="18"/>
    <col min="6403" max="6403" width="9.86328125" style="18" customWidth="1"/>
    <col min="6404" max="6404" width="2" style="18" customWidth="1"/>
    <col min="6405" max="6405" width="12.53125" style="18" customWidth="1"/>
    <col min="6406" max="6406" width="1.86328125" style="18" customWidth="1"/>
    <col min="6407" max="6407" width="2" style="18" customWidth="1"/>
    <col min="6408" max="6408" width="16" style="18" customWidth="1"/>
    <col min="6409" max="6409" width="26" style="18" customWidth="1"/>
    <col min="6410" max="6410" width="9" style="18"/>
    <col min="6411" max="6411" width="9" style="18" customWidth="1"/>
    <col min="6412" max="6658" width="9" style="18"/>
    <col min="6659" max="6659" width="9.86328125" style="18" customWidth="1"/>
    <col min="6660" max="6660" width="2" style="18" customWidth="1"/>
    <col min="6661" max="6661" width="12.53125" style="18" customWidth="1"/>
    <col min="6662" max="6662" width="1.86328125" style="18" customWidth="1"/>
    <col min="6663" max="6663" width="2" style="18" customWidth="1"/>
    <col min="6664" max="6664" width="16" style="18" customWidth="1"/>
    <col min="6665" max="6665" width="26" style="18" customWidth="1"/>
    <col min="6666" max="6666" width="9" style="18"/>
    <col min="6667" max="6667" width="9" style="18" customWidth="1"/>
    <col min="6668" max="6914" width="9" style="18"/>
    <col min="6915" max="6915" width="9.86328125" style="18" customWidth="1"/>
    <col min="6916" max="6916" width="2" style="18" customWidth="1"/>
    <col min="6917" max="6917" width="12.53125" style="18" customWidth="1"/>
    <col min="6918" max="6918" width="1.86328125" style="18" customWidth="1"/>
    <col min="6919" max="6919" width="2" style="18" customWidth="1"/>
    <col min="6920" max="6920" width="16" style="18" customWidth="1"/>
    <col min="6921" max="6921" width="26" style="18" customWidth="1"/>
    <col min="6922" max="6922" width="9" style="18"/>
    <col min="6923" max="6923" width="9" style="18" customWidth="1"/>
    <col min="6924" max="7170" width="9" style="18"/>
    <col min="7171" max="7171" width="9.86328125" style="18" customWidth="1"/>
    <col min="7172" max="7172" width="2" style="18" customWidth="1"/>
    <col min="7173" max="7173" width="12.53125" style="18" customWidth="1"/>
    <col min="7174" max="7174" width="1.86328125" style="18" customWidth="1"/>
    <col min="7175" max="7175" width="2" style="18" customWidth="1"/>
    <col min="7176" max="7176" width="16" style="18" customWidth="1"/>
    <col min="7177" max="7177" width="26" style="18" customWidth="1"/>
    <col min="7178" max="7178" width="9" style="18"/>
    <col min="7179" max="7179" width="9" style="18" customWidth="1"/>
    <col min="7180" max="7426" width="9" style="18"/>
    <col min="7427" max="7427" width="9.86328125" style="18" customWidth="1"/>
    <col min="7428" max="7428" width="2" style="18" customWidth="1"/>
    <col min="7429" max="7429" width="12.53125" style="18" customWidth="1"/>
    <col min="7430" max="7430" width="1.86328125" style="18" customWidth="1"/>
    <col min="7431" max="7431" width="2" style="18" customWidth="1"/>
    <col min="7432" max="7432" width="16" style="18" customWidth="1"/>
    <col min="7433" max="7433" width="26" style="18" customWidth="1"/>
    <col min="7434" max="7434" width="9" style="18"/>
    <col min="7435" max="7435" width="9" style="18" customWidth="1"/>
    <col min="7436" max="7682" width="9" style="18"/>
    <col min="7683" max="7683" width="9.86328125" style="18" customWidth="1"/>
    <col min="7684" max="7684" width="2" style="18" customWidth="1"/>
    <col min="7685" max="7685" width="12.53125" style="18" customWidth="1"/>
    <col min="7686" max="7686" width="1.86328125" style="18" customWidth="1"/>
    <col min="7687" max="7687" width="2" style="18" customWidth="1"/>
    <col min="7688" max="7688" width="16" style="18" customWidth="1"/>
    <col min="7689" max="7689" width="26" style="18" customWidth="1"/>
    <col min="7690" max="7690" width="9" style="18"/>
    <col min="7691" max="7691" width="9" style="18" customWidth="1"/>
    <col min="7692" max="7938" width="9" style="18"/>
    <col min="7939" max="7939" width="9.86328125" style="18" customWidth="1"/>
    <col min="7940" max="7940" width="2" style="18" customWidth="1"/>
    <col min="7941" max="7941" width="12.53125" style="18" customWidth="1"/>
    <col min="7942" max="7942" width="1.86328125" style="18" customWidth="1"/>
    <col min="7943" max="7943" width="2" style="18" customWidth="1"/>
    <col min="7944" max="7944" width="16" style="18" customWidth="1"/>
    <col min="7945" max="7945" width="26" style="18" customWidth="1"/>
    <col min="7946" max="7946" width="9" style="18"/>
    <col min="7947" max="7947" width="9" style="18" customWidth="1"/>
    <col min="7948" max="8194" width="9" style="18"/>
    <col min="8195" max="8195" width="9.86328125" style="18" customWidth="1"/>
    <col min="8196" max="8196" width="2" style="18" customWidth="1"/>
    <col min="8197" max="8197" width="12.53125" style="18" customWidth="1"/>
    <col min="8198" max="8198" width="1.86328125" style="18" customWidth="1"/>
    <col min="8199" max="8199" width="2" style="18" customWidth="1"/>
    <col min="8200" max="8200" width="16" style="18" customWidth="1"/>
    <col min="8201" max="8201" width="26" style="18" customWidth="1"/>
    <col min="8202" max="8202" width="9" style="18"/>
    <col min="8203" max="8203" width="9" style="18" customWidth="1"/>
    <col min="8204" max="8450" width="9" style="18"/>
    <col min="8451" max="8451" width="9.86328125" style="18" customWidth="1"/>
    <col min="8452" max="8452" width="2" style="18" customWidth="1"/>
    <col min="8453" max="8453" width="12.53125" style="18" customWidth="1"/>
    <col min="8454" max="8454" width="1.86328125" style="18" customWidth="1"/>
    <col min="8455" max="8455" width="2" style="18" customWidth="1"/>
    <col min="8456" max="8456" width="16" style="18" customWidth="1"/>
    <col min="8457" max="8457" width="26" style="18" customWidth="1"/>
    <col min="8458" max="8458" width="9" style="18"/>
    <col min="8459" max="8459" width="9" style="18" customWidth="1"/>
    <col min="8460" max="8706" width="9" style="18"/>
    <col min="8707" max="8707" width="9.86328125" style="18" customWidth="1"/>
    <col min="8708" max="8708" width="2" style="18" customWidth="1"/>
    <col min="8709" max="8709" width="12.53125" style="18" customWidth="1"/>
    <col min="8710" max="8710" width="1.86328125" style="18" customWidth="1"/>
    <col min="8711" max="8711" width="2" style="18" customWidth="1"/>
    <col min="8712" max="8712" width="16" style="18" customWidth="1"/>
    <col min="8713" max="8713" width="26" style="18" customWidth="1"/>
    <col min="8714" max="8714" width="9" style="18"/>
    <col min="8715" max="8715" width="9" style="18" customWidth="1"/>
    <col min="8716" max="8962" width="9" style="18"/>
    <col min="8963" max="8963" width="9.86328125" style="18" customWidth="1"/>
    <col min="8964" max="8964" width="2" style="18" customWidth="1"/>
    <col min="8965" max="8965" width="12.53125" style="18" customWidth="1"/>
    <col min="8966" max="8966" width="1.86328125" style="18" customWidth="1"/>
    <col min="8967" max="8967" width="2" style="18" customWidth="1"/>
    <col min="8968" max="8968" width="16" style="18" customWidth="1"/>
    <col min="8969" max="8969" width="26" style="18" customWidth="1"/>
    <col min="8970" max="8970" width="9" style="18"/>
    <col min="8971" max="8971" width="9" style="18" customWidth="1"/>
    <col min="8972" max="9218" width="9" style="18"/>
    <col min="9219" max="9219" width="9.86328125" style="18" customWidth="1"/>
    <col min="9220" max="9220" width="2" style="18" customWidth="1"/>
    <col min="9221" max="9221" width="12.53125" style="18" customWidth="1"/>
    <col min="9222" max="9222" width="1.86328125" style="18" customWidth="1"/>
    <col min="9223" max="9223" width="2" style="18" customWidth="1"/>
    <col min="9224" max="9224" width="16" style="18" customWidth="1"/>
    <col min="9225" max="9225" width="26" style="18" customWidth="1"/>
    <col min="9226" max="9226" width="9" style="18"/>
    <col min="9227" max="9227" width="9" style="18" customWidth="1"/>
    <col min="9228" max="9474" width="9" style="18"/>
    <col min="9475" max="9475" width="9.86328125" style="18" customWidth="1"/>
    <col min="9476" max="9476" width="2" style="18" customWidth="1"/>
    <col min="9477" max="9477" width="12.53125" style="18" customWidth="1"/>
    <col min="9478" max="9478" width="1.86328125" style="18" customWidth="1"/>
    <col min="9479" max="9479" width="2" style="18" customWidth="1"/>
    <col min="9480" max="9480" width="16" style="18" customWidth="1"/>
    <col min="9481" max="9481" width="26" style="18" customWidth="1"/>
    <col min="9482" max="9482" width="9" style="18"/>
    <col min="9483" max="9483" width="9" style="18" customWidth="1"/>
    <col min="9484" max="9730" width="9" style="18"/>
    <col min="9731" max="9731" width="9.86328125" style="18" customWidth="1"/>
    <col min="9732" max="9732" width="2" style="18" customWidth="1"/>
    <col min="9733" max="9733" width="12.53125" style="18" customWidth="1"/>
    <col min="9734" max="9734" width="1.86328125" style="18" customWidth="1"/>
    <col min="9735" max="9735" width="2" style="18" customWidth="1"/>
    <col min="9736" max="9736" width="16" style="18" customWidth="1"/>
    <col min="9737" max="9737" width="26" style="18" customWidth="1"/>
    <col min="9738" max="9738" width="9" style="18"/>
    <col min="9739" max="9739" width="9" style="18" customWidth="1"/>
    <col min="9740" max="9986" width="9" style="18"/>
    <col min="9987" max="9987" width="9.86328125" style="18" customWidth="1"/>
    <col min="9988" max="9988" width="2" style="18" customWidth="1"/>
    <col min="9989" max="9989" width="12.53125" style="18" customWidth="1"/>
    <col min="9990" max="9990" width="1.86328125" style="18" customWidth="1"/>
    <col min="9991" max="9991" width="2" style="18" customWidth="1"/>
    <col min="9992" max="9992" width="16" style="18" customWidth="1"/>
    <col min="9993" max="9993" width="26" style="18" customWidth="1"/>
    <col min="9994" max="9994" width="9" style="18"/>
    <col min="9995" max="9995" width="9" style="18" customWidth="1"/>
    <col min="9996" max="10242" width="9" style="18"/>
    <col min="10243" max="10243" width="9.86328125" style="18" customWidth="1"/>
    <col min="10244" max="10244" width="2" style="18" customWidth="1"/>
    <col min="10245" max="10245" width="12.53125" style="18" customWidth="1"/>
    <col min="10246" max="10246" width="1.86328125" style="18" customWidth="1"/>
    <col min="10247" max="10247" width="2" style="18" customWidth="1"/>
    <col min="10248" max="10248" width="16" style="18" customWidth="1"/>
    <col min="10249" max="10249" width="26" style="18" customWidth="1"/>
    <col min="10250" max="10250" width="9" style="18"/>
    <col min="10251" max="10251" width="9" style="18" customWidth="1"/>
    <col min="10252" max="10498" width="9" style="18"/>
    <col min="10499" max="10499" width="9.86328125" style="18" customWidth="1"/>
    <col min="10500" max="10500" width="2" style="18" customWidth="1"/>
    <col min="10501" max="10501" width="12.53125" style="18" customWidth="1"/>
    <col min="10502" max="10502" width="1.86328125" style="18" customWidth="1"/>
    <col min="10503" max="10503" width="2" style="18" customWidth="1"/>
    <col min="10504" max="10504" width="16" style="18" customWidth="1"/>
    <col min="10505" max="10505" width="26" style="18" customWidth="1"/>
    <col min="10506" max="10506" width="9" style="18"/>
    <col min="10507" max="10507" width="9" style="18" customWidth="1"/>
    <col min="10508" max="10754" width="9" style="18"/>
    <col min="10755" max="10755" width="9.86328125" style="18" customWidth="1"/>
    <col min="10756" max="10756" width="2" style="18" customWidth="1"/>
    <col min="10757" max="10757" width="12.53125" style="18" customWidth="1"/>
    <col min="10758" max="10758" width="1.86328125" style="18" customWidth="1"/>
    <col min="10759" max="10759" width="2" style="18" customWidth="1"/>
    <col min="10760" max="10760" width="16" style="18" customWidth="1"/>
    <col min="10761" max="10761" width="26" style="18" customWidth="1"/>
    <col min="10762" max="10762" width="9" style="18"/>
    <col min="10763" max="10763" width="9" style="18" customWidth="1"/>
    <col min="10764" max="11010" width="9" style="18"/>
    <col min="11011" max="11011" width="9.86328125" style="18" customWidth="1"/>
    <col min="11012" max="11012" width="2" style="18" customWidth="1"/>
    <col min="11013" max="11013" width="12.53125" style="18" customWidth="1"/>
    <col min="11014" max="11014" width="1.86328125" style="18" customWidth="1"/>
    <col min="11015" max="11015" width="2" style="18" customWidth="1"/>
    <col min="11016" max="11016" width="16" style="18" customWidth="1"/>
    <col min="11017" max="11017" width="26" style="18" customWidth="1"/>
    <col min="11018" max="11018" width="9" style="18"/>
    <col min="11019" max="11019" width="9" style="18" customWidth="1"/>
    <col min="11020" max="11266" width="9" style="18"/>
    <col min="11267" max="11267" width="9.86328125" style="18" customWidth="1"/>
    <col min="11268" max="11268" width="2" style="18" customWidth="1"/>
    <col min="11269" max="11269" width="12.53125" style="18" customWidth="1"/>
    <col min="11270" max="11270" width="1.86328125" style="18" customWidth="1"/>
    <col min="11271" max="11271" width="2" style="18" customWidth="1"/>
    <col min="11272" max="11272" width="16" style="18" customWidth="1"/>
    <col min="11273" max="11273" width="26" style="18" customWidth="1"/>
    <col min="11274" max="11274" width="9" style="18"/>
    <col min="11275" max="11275" width="9" style="18" customWidth="1"/>
    <col min="11276" max="11522" width="9" style="18"/>
    <col min="11523" max="11523" width="9.86328125" style="18" customWidth="1"/>
    <col min="11524" max="11524" width="2" style="18" customWidth="1"/>
    <col min="11525" max="11525" width="12.53125" style="18" customWidth="1"/>
    <col min="11526" max="11526" width="1.86328125" style="18" customWidth="1"/>
    <col min="11527" max="11527" width="2" style="18" customWidth="1"/>
    <col min="11528" max="11528" width="16" style="18" customWidth="1"/>
    <col min="11529" max="11529" width="26" style="18" customWidth="1"/>
    <col min="11530" max="11530" width="9" style="18"/>
    <col min="11531" max="11531" width="9" style="18" customWidth="1"/>
    <col min="11532" max="11778" width="9" style="18"/>
    <col min="11779" max="11779" width="9.86328125" style="18" customWidth="1"/>
    <col min="11780" max="11780" width="2" style="18" customWidth="1"/>
    <col min="11781" max="11781" width="12.53125" style="18" customWidth="1"/>
    <col min="11782" max="11782" width="1.86328125" style="18" customWidth="1"/>
    <col min="11783" max="11783" width="2" style="18" customWidth="1"/>
    <col min="11784" max="11784" width="16" style="18" customWidth="1"/>
    <col min="11785" max="11785" width="26" style="18" customWidth="1"/>
    <col min="11786" max="11786" width="9" style="18"/>
    <col min="11787" max="11787" width="9" style="18" customWidth="1"/>
    <col min="11788" max="12034" width="9" style="18"/>
    <col min="12035" max="12035" width="9.86328125" style="18" customWidth="1"/>
    <col min="12036" max="12036" width="2" style="18" customWidth="1"/>
    <col min="12037" max="12037" width="12.53125" style="18" customWidth="1"/>
    <col min="12038" max="12038" width="1.86328125" style="18" customWidth="1"/>
    <col min="12039" max="12039" width="2" style="18" customWidth="1"/>
    <col min="12040" max="12040" width="16" style="18" customWidth="1"/>
    <col min="12041" max="12041" width="26" style="18" customWidth="1"/>
    <col min="12042" max="12042" width="9" style="18"/>
    <col min="12043" max="12043" width="9" style="18" customWidth="1"/>
    <col min="12044" max="12290" width="9" style="18"/>
    <col min="12291" max="12291" width="9.86328125" style="18" customWidth="1"/>
    <col min="12292" max="12292" width="2" style="18" customWidth="1"/>
    <col min="12293" max="12293" width="12.53125" style="18" customWidth="1"/>
    <col min="12294" max="12294" width="1.86328125" style="18" customWidth="1"/>
    <col min="12295" max="12295" width="2" style="18" customWidth="1"/>
    <col min="12296" max="12296" width="16" style="18" customWidth="1"/>
    <col min="12297" max="12297" width="26" style="18" customWidth="1"/>
    <col min="12298" max="12298" width="9" style="18"/>
    <col min="12299" max="12299" width="9" style="18" customWidth="1"/>
    <col min="12300" max="12546" width="9" style="18"/>
    <col min="12547" max="12547" width="9.86328125" style="18" customWidth="1"/>
    <col min="12548" max="12548" width="2" style="18" customWidth="1"/>
    <col min="12549" max="12549" width="12.53125" style="18" customWidth="1"/>
    <col min="12550" max="12550" width="1.86328125" style="18" customWidth="1"/>
    <col min="12551" max="12551" width="2" style="18" customWidth="1"/>
    <col min="12552" max="12552" width="16" style="18" customWidth="1"/>
    <col min="12553" max="12553" width="26" style="18" customWidth="1"/>
    <col min="12554" max="12554" width="9" style="18"/>
    <col min="12555" max="12555" width="9" style="18" customWidth="1"/>
    <col min="12556" max="12802" width="9" style="18"/>
    <col min="12803" max="12803" width="9.86328125" style="18" customWidth="1"/>
    <col min="12804" max="12804" width="2" style="18" customWidth="1"/>
    <col min="12805" max="12805" width="12.53125" style="18" customWidth="1"/>
    <col min="12806" max="12806" width="1.86328125" style="18" customWidth="1"/>
    <col min="12807" max="12807" width="2" style="18" customWidth="1"/>
    <col min="12808" max="12808" width="16" style="18" customWidth="1"/>
    <col min="12809" max="12809" width="26" style="18" customWidth="1"/>
    <col min="12810" max="12810" width="9" style="18"/>
    <col min="12811" max="12811" width="9" style="18" customWidth="1"/>
    <col min="12812" max="13058" width="9" style="18"/>
    <col min="13059" max="13059" width="9.86328125" style="18" customWidth="1"/>
    <col min="13060" max="13060" width="2" style="18" customWidth="1"/>
    <col min="13061" max="13061" width="12.53125" style="18" customWidth="1"/>
    <col min="13062" max="13062" width="1.86328125" style="18" customWidth="1"/>
    <col min="13063" max="13063" width="2" style="18" customWidth="1"/>
    <col min="13064" max="13064" width="16" style="18" customWidth="1"/>
    <col min="13065" max="13065" width="26" style="18" customWidth="1"/>
    <col min="13066" max="13066" width="9" style="18"/>
    <col min="13067" max="13067" width="9" style="18" customWidth="1"/>
    <col min="13068" max="13314" width="9" style="18"/>
    <col min="13315" max="13315" width="9.86328125" style="18" customWidth="1"/>
    <col min="13316" max="13316" width="2" style="18" customWidth="1"/>
    <col min="13317" max="13317" width="12.53125" style="18" customWidth="1"/>
    <col min="13318" max="13318" width="1.86328125" style="18" customWidth="1"/>
    <col min="13319" max="13319" width="2" style="18" customWidth="1"/>
    <col min="13320" max="13320" width="16" style="18" customWidth="1"/>
    <col min="13321" max="13321" width="26" style="18" customWidth="1"/>
    <col min="13322" max="13322" width="9" style="18"/>
    <col min="13323" max="13323" width="9" style="18" customWidth="1"/>
    <col min="13324" max="13570" width="9" style="18"/>
    <col min="13571" max="13571" width="9.86328125" style="18" customWidth="1"/>
    <col min="13572" max="13572" width="2" style="18" customWidth="1"/>
    <col min="13573" max="13573" width="12.53125" style="18" customWidth="1"/>
    <col min="13574" max="13574" width="1.86328125" style="18" customWidth="1"/>
    <col min="13575" max="13575" width="2" style="18" customWidth="1"/>
    <col min="13576" max="13576" width="16" style="18" customWidth="1"/>
    <col min="13577" max="13577" width="26" style="18" customWidth="1"/>
    <col min="13578" max="13578" width="9" style="18"/>
    <col min="13579" max="13579" width="9" style="18" customWidth="1"/>
    <col min="13580" max="13826" width="9" style="18"/>
    <col min="13827" max="13827" width="9.86328125" style="18" customWidth="1"/>
    <col min="13828" max="13828" width="2" style="18" customWidth="1"/>
    <col min="13829" max="13829" width="12.53125" style="18" customWidth="1"/>
    <col min="13830" max="13830" width="1.86328125" style="18" customWidth="1"/>
    <col min="13831" max="13831" width="2" style="18" customWidth="1"/>
    <col min="13832" max="13832" width="16" style="18" customWidth="1"/>
    <col min="13833" max="13833" width="26" style="18" customWidth="1"/>
    <col min="13834" max="13834" width="9" style="18"/>
    <col min="13835" max="13835" width="9" style="18" customWidth="1"/>
    <col min="13836" max="14082" width="9" style="18"/>
    <col min="14083" max="14083" width="9.86328125" style="18" customWidth="1"/>
    <col min="14084" max="14084" width="2" style="18" customWidth="1"/>
    <col min="14085" max="14085" width="12.53125" style="18" customWidth="1"/>
    <col min="14086" max="14086" width="1.86328125" style="18" customWidth="1"/>
    <col min="14087" max="14087" width="2" style="18" customWidth="1"/>
    <col min="14088" max="14088" width="16" style="18" customWidth="1"/>
    <col min="14089" max="14089" width="26" style="18" customWidth="1"/>
    <col min="14090" max="14090" width="9" style="18"/>
    <col min="14091" max="14091" width="9" style="18" customWidth="1"/>
    <col min="14092" max="14338" width="9" style="18"/>
    <col min="14339" max="14339" width="9.86328125" style="18" customWidth="1"/>
    <col min="14340" max="14340" width="2" style="18" customWidth="1"/>
    <col min="14341" max="14341" width="12.53125" style="18" customWidth="1"/>
    <col min="14342" max="14342" width="1.86328125" style="18" customWidth="1"/>
    <col min="14343" max="14343" width="2" style="18" customWidth="1"/>
    <col min="14344" max="14344" width="16" style="18" customWidth="1"/>
    <col min="14345" max="14345" width="26" style="18" customWidth="1"/>
    <col min="14346" max="14346" width="9" style="18"/>
    <col min="14347" max="14347" width="9" style="18" customWidth="1"/>
    <col min="14348" max="14594" width="9" style="18"/>
    <col min="14595" max="14595" width="9.86328125" style="18" customWidth="1"/>
    <col min="14596" max="14596" width="2" style="18" customWidth="1"/>
    <col min="14597" max="14597" width="12.53125" style="18" customWidth="1"/>
    <col min="14598" max="14598" width="1.86328125" style="18" customWidth="1"/>
    <col min="14599" max="14599" width="2" style="18" customWidth="1"/>
    <col min="14600" max="14600" width="16" style="18" customWidth="1"/>
    <col min="14601" max="14601" width="26" style="18" customWidth="1"/>
    <col min="14602" max="14602" width="9" style="18"/>
    <col min="14603" max="14603" width="9" style="18" customWidth="1"/>
    <col min="14604" max="14850" width="9" style="18"/>
    <col min="14851" max="14851" width="9.86328125" style="18" customWidth="1"/>
    <col min="14852" max="14852" width="2" style="18" customWidth="1"/>
    <col min="14853" max="14853" width="12.53125" style="18" customWidth="1"/>
    <col min="14854" max="14854" width="1.86328125" style="18" customWidth="1"/>
    <col min="14855" max="14855" width="2" style="18" customWidth="1"/>
    <col min="14856" max="14856" width="16" style="18" customWidth="1"/>
    <col min="14857" max="14857" width="26" style="18" customWidth="1"/>
    <col min="14858" max="14858" width="9" style="18"/>
    <col min="14859" max="14859" width="9" style="18" customWidth="1"/>
    <col min="14860" max="15106" width="9" style="18"/>
    <col min="15107" max="15107" width="9.86328125" style="18" customWidth="1"/>
    <col min="15108" max="15108" width="2" style="18" customWidth="1"/>
    <col min="15109" max="15109" width="12.53125" style="18" customWidth="1"/>
    <col min="15110" max="15110" width="1.86328125" style="18" customWidth="1"/>
    <col min="15111" max="15111" width="2" style="18" customWidth="1"/>
    <col min="15112" max="15112" width="16" style="18" customWidth="1"/>
    <col min="15113" max="15113" width="26" style="18" customWidth="1"/>
    <col min="15114" max="15114" width="9" style="18"/>
    <col min="15115" max="15115" width="9" style="18" customWidth="1"/>
    <col min="15116" max="15362" width="9" style="18"/>
    <col min="15363" max="15363" width="9.86328125" style="18" customWidth="1"/>
    <col min="15364" max="15364" width="2" style="18" customWidth="1"/>
    <col min="15365" max="15365" width="12.53125" style="18" customWidth="1"/>
    <col min="15366" max="15366" width="1.86328125" style="18" customWidth="1"/>
    <col min="15367" max="15367" width="2" style="18" customWidth="1"/>
    <col min="15368" max="15368" width="16" style="18" customWidth="1"/>
    <col min="15369" max="15369" width="26" style="18" customWidth="1"/>
    <col min="15370" max="15370" width="9" style="18"/>
    <col min="15371" max="15371" width="9" style="18" customWidth="1"/>
    <col min="15372" max="15618" width="9" style="18"/>
    <col min="15619" max="15619" width="9.86328125" style="18" customWidth="1"/>
    <col min="15620" max="15620" width="2" style="18" customWidth="1"/>
    <col min="15621" max="15621" width="12.53125" style="18" customWidth="1"/>
    <col min="15622" max="15622" width="1.86328125" style="18" customWidth="1"/>
    <col min="15623" max="15623" width="2" style="18" customWidth="1"/>
    <col min="15624" max="15624" width="16" style="18" customWidth="1"/>
    <col min="15625" max="15625" width="26" style="18" customWidth="1"/>
    <col min="15626" max="15626" width="9" style="18"/>
    <col min="15627" max="15627" width="9" style="18" customWidth="1"/>
    <col min="15628" max="15874" width="9" style="18"/>
    <col min="15875" max="15875" width="9.86328125" style="18" customWidth="1"/>
    <col min="15876" max="15876" width="2" style="18" customWidth="1"/>
    <col min="15877" max="15877" width="12.53125" style="18" customWidth="1"/>
    <col min="15878" max="15878" width="1.86328125" style="18" customWidth="1"/>
    <col min="15879" max="15879" width="2" style="18" customWidth="1"/>
    <col min="15880" max="15880" width="16" style="18" customWidth="1"/>
    <col min="15881" max="15881" width="26" style="18" customWidth="1"/>
    <col min="15882" max="15882" width="9" style="18"/>
    <col min="15883" max="15883" width="9" style="18" customWidth="1"/>
    <col min="15884" max="16130" width="9" style="18"/>
    <col min="16131" max="16131" width="9.86328125" style="18" customWidth="1"/>
    <col min="16132" max="16132" width="2" style="18" customWidth="1"/>
    <col min="16133" max="16133" width="12.53125" style="18" customWidth="1"/>
    <col min="16134" max="16134" width="1.86328125" style="18" customWidth="1"/>
    <col min="16135" max="16135" width="2" style="18" customWidth="1"/>
    <col min="16136" max="16136" width="16" style="18" customWidth="1"/>
    <col min="16137" max="16137" width="26" style="18" customWidth="1"/>
    <col min="16138" max="16138" width="9" style="18"/>
    <col min="16139" max="16139" width="9" style="18" customWidth="1"/>
    <col min="16140" max="16384" width="9" style="18"/>
  </cols>
  <sheetData>
    <row r="1" spans="1:13" ht="17.25">
      <c r="D1" s="866" t="str">
        <f>UPPER(opd_pem)</f>
        <v>PEMERINTAH PROVINSI NUSA TENGGARA BARAT</v>
      </c>
      <c r="E1" s="866"/>
      <c r="F1" s="866"/>
      <c r="G1" s="866"/>
      <c r="H1" s="866"/>
      <c r="I1" s="866"/>
      <c r="J1" s="866"/>
      <c r="K1" s="866"/>
    </row>
    <row r="2" spans="1:13" ht="47.1" customHeight="1">
      <c r="D2" s="934" t="str">
        <f>UPPER(ukpbj)</f>
        <v>BADAN PENGELOLAAN KEUANGAN DAN ASET DAERAH</v>
      </c>
      <c r="E2" s="934"/>
      <c r="F2" s="934"/>
      <c r="G2" s="934"/>
      <c r="H2" s="934"/>
      <c r="I2" s="934"/>
      <c r="J2" s="934"/>
      <c r="K2" s="934"/>
    </row>
    <row r="3" spans="1:13" ht="17.850000000000001" customHeight="1">
      <c r="A3" s="24"/>
      <c r="B3" s="24"/>
      <c r="C3" s="24"/>
      <c r="D3" s="868" t="str">
        <f>opd_almt</f>
        <v>Jalan Pejanggik Nomor 14 Telp.( 0370 ) 627689, 625345 Fax: 627677</v>
      </c>
      <c r="E3" s="868"/>
      <c r="F3" s="868"/>
      <c r="G3" s="868"/>
      <c r="H3" s="868"/>
      <c r="I3" s="868"/>
      <c r="J3" s="868"/>
      <c r="K3" s="868"/>
    </row>
    <row r="4" spans="1:13" ht="5.25" customHeight="1"/>
    <row r="5" spans="1:13" ht="15" customHeight="1">
      <c r="A5" s="27"/>
      <c r="B5" s="27"/>
      <c r="C5" s="27"/>
      <c r="D5" s="27"/>
      <c r="E5" s="27"/>
      <c r="F5" s="27"/>
      <c r="G5" s="27"/>
      <c r="H5" s="27"/>
      <c r="I5" s="27"/>
      <c r="J5" s="27"/>
      <c r="K5" s="72" t="str">
        <f>ppk_lok&amp;", "&amp;TEXT(Input!$F$90,"[$-421]d mmmm yyyy")</f>
        <v>Mataram, 3 Agustus 2023</v>
      </c>
    </row>
    <row r="6" spans="1:13" ht="15" customHeight="1">
      <c r="A6" s="60" t="s">
        <v>237</v>
      </c>
      <c r="B6" s="60"/>
      <c r="C6" s="60" t="s">
        <v>2</v>
      </c>
      <c r="D6" s="60" t="str">
        <f>Input!D90</f>
        <v>027.1/02.PPK/BPKAD/2025</v>
      </c>
      <c r="E6" s="60"/>
      <c r="F6" s="60"/>
      <c r="G6" s="60"/>
      <c r="H6" s="60"/>
      <c r="I6" s="60"/>
      <c r="J6" s="60"/>
      <c r="K6" s="60"/>
      <c r="L6" s="71" t="s">
        <v>253</v>
      </c>
    </row>
    <row r="7" spans="1:13" ht="15" customHeight="1">
      <c r="A7" s="37" t="s">
        <v>267</v>
      </c>
      <c r="B7" s="37"/>
      <c r="C7" s="37" t="s">
        <v>2</v>
      </c>
      <c r="D7" s="796" t="s">
        <v>847</v>
      </c>
      <c r="E7" s="37"/>
      <c r="F7" s="37"/>
      <c r="G7" s="37"/>
      <c r="H7" s="37"/>
      <c r="I7" s="37"/>
      <c r="J7" s="37"/>
      <c r="K7" s="37"/>
    </row>
    <row r="8" spans="1:13" ht="15" customHeight="1">
      <c r="A8" s="37"/>
      <c r="B8" s="37"/>
      <c r="C8" s="37"/>
      <c r="D8" s="37"/>
      <c r="E8" s="37"/>
      <c r="F8" s="37"/>
      <c r="G8" s="37"/>
      <c r="H8" s="37"/>
      <c r="I8" s="37"/>
      <c r="J8" s="37"/>
      <c r="K8" s="37"/>
    </row>
    <row r="9" spans="1:13" ht="15" customHeight="1">
      <c r="A9" s="60" t="s">
        <v>848</v>
      </c>
      <c r="B9" s="60"/>
      <c r="C9" s="60"/>
      <c r="D9" s="60"/>
      <c r="E9" s="60"/>
      <c r="F9" s="60"/>
      <c r="G9" s="60"/>
      <c r="H9" s="60"/>
      <c r="I9" s="60"/>
      <c r="J9" s="60"/>
      <c r="K9" s="60"/>
    </row>
    <row r="10" spans="1:13" ht="15" customHeight="1">
      <c r="A10" s="1017" t="str">
        <f>bu_pim&amp;" "&amp;bu_nama</f>
        <v>Direktur PT. DARUSSALAM MEDIA GROUP</v>
      </c>
      <c r="B10" s="1017"/>
      <c r="C10" s="1017"/>
      <c r="D10" s="1017"/>
      <c r="E10" s="1017"/>
      <c r="F10" s="1017"/>
      <c r="G10" s="1017"/>
      <c r="H10" s="1017"/>
      <c r="I10" s="1017"/>
      <c r="J10" s="1017"/>
      <c r="K10" s="1017"/>
      <c r="L10" s="37"/>
      <c r="M10" s="37"/>
    </row>
    <row r="11" spans="1:13" ht="15" customHeight="1">
      <c r="A11" s="60" t="s">
        <v>849</v>
      </c>
      <c r="B11" s="60"/>
      <c r="C11" s="60"/>
      <c r="D11" s="60"/>
      <c r="E11" s="60"/>
      <c r="F11" s="60"/>
      <c r="G11" s="60"/>
      <c r="H11" s="60"/>
      <c r="I11" s="60"/>
      <c r="J11" s="60"/>
      <c r="K11" s="60"/>
    </row>
    <row r="12" spans="1:13" ht="15" customHeight="1">
      <c r="A12" s="60"/>
      <c r="B12" s="60"/>
      <c r="C12" s="60"/>
      <c r="D12" s="60" t="str">
        <f>bu_lok</f>
        <v>Mataram</v>
      </c>
      <c r="E12" s="60"/>
      <c r="F12" s="60"/>
      <c r="G12" s="60"/>
      <c r="H12" s="60"/>
      <c r="I12" s="60"/>
      <c r="J12" s="60"/>
      <c r="K12" s="60"/>
    </row>
    <row r="13" spans="1:13" ht="15" customHeight="1">
      <c r="A13" s="60"/>
      <c r="B13" s="60"/>
      <c r="C13" s="60"/>
      <c r="D13" s="60"/>
      <c r="E13" s="60"/>
      <c r="F13" s="60"/>
      <c r="G13" s="60"/>
      <c r="H13" s="60"/>
      <c r="I13" s="60"/>
      <c r="J13" s="60"/>
      <c r="K13" s="60"/>
    </row>
    <row r="14" spans="1:13" ht="15" customHeight="1">
      <c r="A14" s="60" t="s">
        <v>269</v>
      </c>
      <c r="B14" s="60"/>
      <c r="C14" s="60" t="s">
        <v>2</v>
      </c>
      <c r="D14" s="1250" t="str">
        <f>"Penunjukan Penyedia Untuk Pelaksanaan Paket Pekerjaan "&amp;paket</f>
        <v>Penunjukan Penyedia Untuk Pelaksanaan Paket Pekerjaan Belanja Pemeliharaan Bangunan Gedung-Bangunan Gedung Tempat Kerja-Bangunan Gedung Kantor-Pemeliharaan Gedung Bertingkat</v>
      </c>
      <c r="E14" s="1250"/>
      <c r="F14" s="1250"/>
      <c r="G14" s="1250"/>
      <c r="H14" s="1250"/>
      <c r="I14" s="1250"/>
      <c r="J14" s="1250"/>
      <c r="K14" s="1250"/>
    </row>
    <row r="15" spans="1:13" ht="15" customHeight="1">
      <c r="A15" s="60"/>
      <c r="B15" s="60"/>
      <c r="C15" s="60"/>
      <c r="D15" s="1251"/>
      <c r="E15" s="1251"/>
      <c r="F15" s="1251"/>
      <c r="G15" s="1251"/>
      <c r="H15" s="1251"/>
      <c r="I15" s="1251"/>
      <c r="J15" s="1251"/>
      <c r="K15" s="1251"/>
    </row>
    <row r="16" spans="1:13" ht="15" customHeight="1"/>
    <row r="17" spans="1:12" ht="15" customHeight="1">
      <c r="D17" s="1021" t="str">
        <f>"Dengan ini kami beritahukan bahwa penawaran Saudara nomor "&amp;Input!$D$82&amp;" tanggal "&amp;TEXT(Input!$F$82,"[$-421]d mmmm yyyy")&amp;" untuk paket pekerjaan "&amp;paket&amp;" dengan hasil negosiasi harga sebesar Rp. "&amp;TEXT(bu_hn,tiko1)&amp;" ("&amp;bu_hn2&amp;") kami nyatakan diterima/disetujui."</f>
        <v>Dengan ini kami beritahukan bahwa penawaran Saudara nomor 02/DMG/VI/2025 tanggal 1 Agustus 2023 untuk paket pekerjaan Belanja Pemeliharaan Bangunan Gedung-Bangunan Gedung Tempat Kerja-Bangunan Gedung Kantor-Pemeliharaan Gedung Bertingkat dengan hasil negosiasi harga sebesar Rp. 69,862,000 (Enam Puluh Sembilan Juta Delapan Ratus Enam Puluh Dua Ribu Rupiah) kami nyatakan diterima/disetujui.</v>
      </c>
      <c r="E17" s="1021"/>
      <c r="F17" s="1021"/>
      <c r="G17" s="1021"/>
      <c r="H17" s="1021"/>
      <c r="I17" s="1021"/>
      <c r="J17" s="1021"/>
      <c r="K17" s="1021"/>
    </row>
    <row r="18" spans="1:12" ht="15" customHeight="1">
      <c r="D18" s="1021"/>
      <c r="E18" s="1021"/>
      <c r="F18" s="1021"/>
      <c r="G18" s="1021"/>
      <c r="H18" s="1021"/>
      <c r="I18" s="1021"/>
      <c r="J18" s="1021"/>
      <c r="K18" s="1021"/>
    </row>
    <row r="19" spans="1:12" ht="15" customHeight="1">
      <c r="D19" s="1021"/>
      <c r="E19" s="1021"/>
      <c r="F19" s="1021"/>
      <c r="G19" s="1021"/>
      <c r="H19" s="1021"/>
      <c r="I19" s="1021"/>
      <c r="J19" s="1021"/>
      <c r="K19" s="1021"/>
    </row>
    <row r="20" spans="1:12" ht="15" customHeight="1">
      <c r="D20" s="1021"/>
      <c r="E20" s="1021"/>
      <c r="F20" s="1021"/>
      <c r="G20" s="1021"/>
      <c r="H20" s="1021"/>
      <c r="I20" s="1021"/>
      <c r="J20" s="1021"/>
      <c r="K20" s="1021"/>
    </row>
    <row r="21" spans="1:12" ht="15" customHeight="1">
      <c r="C21" s="43"/>
      <c r="D21" s="43"/>
      <c r="H21" s="44"/>
      <c r="I21" s="44"/>
      <c r="J21" s="53"/>
      <c r="K21" s="53"/>
    </row>
    <row r="22" spans="1:12" ht="15" customHeight="1">
      <c r="C22" s="64"/>
      <c r="D22" s="1021" t="str">
        <f>"Sebagai tindak lanjut dari Surat Penunjukan Penyedia Barang/Jasa (SPPBJ) ini Saudara diharuskan menandatangani SPK paling lambat 14 (empat belas) hari kerja setelah diterbitkannya SPPBJ."&amp;" Kegagalan Saudara untuk menerima penunjukan ini yang disusun berdasarkan evaluasi terhadap penawaran Saudara, akan dikenakan sanksi sesuai ketentuan dalam "&amp;aturan&amp;"."</f>
        <v>Sebagai tindak lanjut dari Surat Penunjukan Penyedia Barang/Jasa (SPPBJ) ini Saudara diharuskan menandatangani SPK paling lambat 14 (empat belas) hari kerja setelah diterbitkannya SPPBJ. Kegagalan Saudara untuk menerima penunjukan ini yang disusun berdasarkan evaluasi terhadap penawaran Saudara, akan dikenakan sanksi sesuai ketentuan dalam Peraturan Presiden Republik Indonesia Nomor 46 Tahun 2025 beserta perubahan dan petunjuk teknisnya..</v>
      </c>
      <c r="E22" s="1021"/>
      <c r="F22" s="1021"/>
      <c r="G22" s="1021"/>
      <c r="H22" s="1021"/>
      <c r="I22" s="1021"/>
      <c r="J22" s="1021"/>
      <c r="K22" s="1021"/>
    </row>
    <row r="23" spans="1:12" ht="15" customHeight="1">
      <c r="C23" s="64"/>
      <c r="D23" s="1021"/>
      <c r="E23" s="1021"/>
      <c r="F23" s="1021"/>
      <c r="G23" s="1021"/>
      <c r="H23" s="1021"/>
      <c r="I23" s="1021"/>
      <c r="J23" s="1021"/>
      <c r="K23" s="1021"/>
    </row>
    <row r="24" spans="1:12" ht="15" customHeight="1">
      <c r="C24" s="64"/>
      <c r="D24" s="1021"/>
      <c r="E24" s="1021"/>
      <c r="F24" s="1021"/>
      <c r="G24" s="1021"/>
      <c r="H24" s="1021"/>
      <c r="I24" s="1021"/>
      <c r="J24" s="1021"/>
      <c r="K24" s="1021"/>
    </row>
    <row r="25" spans="1:12" ht="15" customHeight="1">
      <c r="C25" s="64"/>
      <c r="D25" s="1021"/>
      <c r="E25" s="1021"/>
      <c r="F25" s="1021"/>
      <c r="G25" s="1021"/>
      <c r="H25" s="1021"/>
      <c r="I25" s="1021"/>
      <c r="J25" s="1021"/>
      <c r="K25" s="1021"/>
    </row>
    <row r="26" spans="1:12" ht="15" customHeight="1">
      <c r="C26" s="64"/>
      <c r="D26" s="1021"/>
      <c r="E26" s="1021"/>
      <c r="F26" s="1021"/>
      <c r="G26" s="1021"/>
      <c r="H26" s="1021"/>
      <c r="I26" s="1021"/>
      <c r="J26" s="1021"/>
      <c r="K26" s="1021"/>
    </row>
    <row r="27" spans="1:12" ht="15" customHeight="1">
      <c r="A27" s="64"/>
      <c r="B27" s="64"/>
      <c r="C27" s="64"/>
      <c r="D27" s="1021"/>
      <c r="E27" s="1021"/>
      <c r="F27" s="1021"/>
      <c r="G27" s="1021"/>
      <c r="H27" s="1021"/>
      <c r="I27" s="1021"/>
      <c r="J27" s="1021"/>
      <c r="K27" s="1021"/>
    </row>
    <row r="28" spans="1:12" ht="15" customHeight="1">
      <c r="C28" s="43"/>
      <c r="D28" s="43"/>
      <c r="H28" s="54"/>
      <c r="I28" s="54"/>
      <c r="J28" s="53"/>
      <c r="K28" s="53"/>
    </row>
    <row r="29" spans="1:12" ht="15" customHeight="1">
      <c r="C29" s="43"/>
      <c r="D29" s="43"/>
      <c r="I29" s="67" t="str">
        <f>ppk_jab</f>
        <v>Pejabat Pembuat Komitmen</v>
      </c>
      <c r="J29" s="67"/>
      <c r="K29" s="53"/>
      <c r="L29" s="53"/>
    </row>
    <row r="30" spans="1:12" ht="15" customHeight="1">
      <c r="C30" s="43"/>
      <c r="D30" s="43"/>
      <c r="I30" s="54"/>
      <c r="J30" s="54"/>
      <c r="K30" s="53"/>
      <c r="L30" s="53"/>
    </row>
    <row r="31" spans="1:12" ht="15" customHeight="1">
      <c r="C31" s="43"/>
      <c r="D31" s="43"/>
      <c r="I31" s="44"/>
      <c r="J31" s="44"/>
      <c r="K31" s="53"/>
      <c r="L31" s="53"/>
    </row>
    <row r="32" spans="1:12" ht="15" customHeight="1">
      <c r="C32" s="43"/>
      <c r="D32" s="43"/>
      <c r="I32" s="44"/>
      <c r="J32" s="44"/>
      <c r="K32" s="53"/>
      <c r="L32" s="53"/>
    </row>
    <row r="33" spans="1:14" ht="15" customHeight="1">
      <c r="C33" s="43"/>
      <c r="D33" s="43"/>
      <c r="I33" s="55" t="str">
        <f>ppk_nama</f>
        <v>Ika Kurnia Mustika, ST, MT</v>
      </c>
      <c r="J33" s="55"/>
      <c r="K33" s="53"/>
      <c r="L33" s="53"/>
    </row>
    <row r="34" spans="1:14" ht="15" customHeight="1">
      <c r="C34" s="43"/>
      <c r="D34" s="43"/>
      <c r="I34" s="44" t="str">
        <f>"NIP. "&amp;ppk_nip</f>
        <v>NIP. 19791117 200901 1 006</v>
      </c>
      <c r="J34" s="44"/>
      <c r="K34" s="53"/>
      <c r="L34" s="53"/>
    </row>
    <row r="35" spans="1:14" ht="15" customHeight="1">
      <c r="C35" s="43"/>
      <c r="D35" s="43"/>
      <c r="H35" s="44"/>
      <c r="I35" s="44"/>
      <c r="J35" s="53"/>
      <c r="K35" s="53"/>
    </row>
    <row r="36" spans="1:14" ht="15" customHeight="1">
      <c r="A36" s="37" t="s">
        <v>265</v>
      </c>
      <c r="B36" s="37"/>
      <c r="C36" s="38"/>
      <c r="D36" s="38"/>
      <c r="E36" s="37"/>
      <c r="F36" s="37"/>
      <c r="G36" s="37"/>
      <c r="H36" s="37"/>
      <c r="I36" s="37"/>
      <c r="J36" s="37"/>
      <c r="K36" s="37"/>
    </row>
    <row r="37" spans="1:14" ht="15" customHeight="1">
      <c r="A37" s="37" t="str">
        <f>"1. "&amp;pa_jab&amp;" di "&amp;pa_lok&amp;";"</f>
        <v>1. Kepala Badan Pengelolaan Keuangan dan Aset Daerah di Mataram;</v>
      </c>
      <c r="B37" s="37"/>
      <c r="C37" s="38"/>
      <c r="D37" s="38"/>
      <c r="E37" s="37"/>
      <c r="F37" s="37"/>
      <c r="G37" s="37"/>
      <c r="H37" s="39"/>
      <c r="I37" s="39"/>
      <c r="J37" s="37"/>
      <c r="K37" s="37"/>
    </row>
    <row r="38" spans="1:14" ht="15" customHeight="1">
      <c r="A38" s="37" t="str">
        <f>"2. "&amp;apip&amp;" di "&amp;apip_lok&amp;";"</f>
        <v>2. Inspektur Provinsi NTB di Mataram;</v>
      </c>
      <c r="B38" s="37"/>
      <c r="C38" s="38"/>
      <c r="D38" s="38"/>
      <c r="E38" s="37"/>
      <c r="F38" s="37"/>
      <c r="G38" s="37"/>
      <c r="H38" s="39"/>
      <c r="I38" s="39"/>
      <c r="J38" s="37"/>
      <c r="K38" s="37"/>
    </row>
    <row r="39" spans="1:14" ht="15" customHeight="1">
      <c r="A39" s="37" t="str">
        <f>"3. "&amp;pokja&amp;" Pada "&amp;ukpbj&amp;" di "&amp;pp_lok&amp;";"</f>
        <v>3. Pejabat Pengadaan Pada Badan Pengelolaan Keuangan dan Aset Daerah di Mataram;</v>
      </c>
      <c r="B39" s="37"/>
      <c r="C39" s="38"/>
      <c r="D39" s="38"/>
      <c r="E39" s="37"/>
      <c r="F39" s="37"/>
      <c r="G39" s="37"/>
      <c r="H39" s="39"/>
      <c r="I39" s="39"/>
      <c r="J39" s="37"/>
      <c r="K39" s="37"/>
    </row>
    <row r="40" spans="1:14" ht="15" customHeight="1">
      <c r="A40" s="37" t="s">
        <v>1136</v>
      </c>
      <c r="B40" s="37"/>
      <c r="C40" s="38"/>
      <c r="D40" s="38"/>
      <c r="E40" s="37"/>
      <c r="F40" s="37"/>
      <c r="G40" s="37"/>
      <c r="H40" s="37"/>
      <c r="I40" s="37"/>
      <c r="J40" s="37"/>
      <c r="K40" s="37"/>
    </row>
    <row r="41" spans="1:14" ht="5.25" customHeight="1"/>
    <row r="42" spans="1:14" ht="5.25" customHeight="1"/>
    <row r="43" spans="1:14" ht="17.850000000000001" customHeight="1">
      <c r="A43" s="869" t="s">
        <v>1137</v>
      </c>
      <c r="B43" s="869"/>
      <c r="C43" s="869"/>
      <c r="D43" s="869"/>
      <c r="E43" s="869"/>
      <c r="F43" s="869"/>
      <c r="G43" s="869"/>
      <c r="H43" s="869"/>
      <c r="I43" s="869"/>
      <c r="J43" s="869"/>
      <c r="K43" s="869"/>
      <c r="L43" s="68" t="s">
        <v>1138</v>
      </c>
      <c r="M43" s="69"/>
      <c r="N43" s="70"/>
    </row>
    <row r="44" spans="1:14" ht="15" customHeight="1">
      <c r="A44" s="870" t="str">
        <f>paket</f>
        <v>Belanja Pemeliharaan Bangunan Gedung-Bangunan Gedung Tempat Kerja-Bangunan Gedung Kantor-Pemeliharaan Gedung Bertingkat</v>
      </c>
      <c r="B44" s="870"/>
      <c r="C44" s="870"/>
      <c r="D44" s="870"/>
      <c r="E44" s="870"/>
      <c r="F44" s="870"/>
      <c r="G44" s="870"/>
      <c r="H44" s="870"/>
      <c r="I44" s="870"/>
      <c r="J44" s="870"/>
      <c r="K44" s="870"/>
      <c r="L44" s="71" t="s">
        <v>253</v>
      </c>
      <c r="M44" s="69"/>
      <c r="N44" s="58"/>
    </row>
    <row r="45" spans="1:14" ht="15" customHeight="1">
      <c r="A45" s="870" t="str">
        <f>"Nomor: "&amp;Input!$D$92</f>
        <v>Nomor: 027.3/17 /SPP/BPKAD/2024</v>
      </c>
      <c r="B45" s="870"/>
      <c r="C45" s="870"/>
      <c r="D45" s="870"/>
      <c r="E45" s="870"/>
      <c r="F45" s="870"/>
      <c r="G45" s="870"/>
      <c r="H45" s="870"/>
      <c r="I45" s="870"/>
      <c r="J45" s="870"/>
      <c r="K45" s="870"/>
      <c r="L45" s="68"/>
      <c r="M45" s="69"/>
      <c r="N45" s="58"/>
    </row>
    <row r="46" spans="1:14" customFormat="1" ht="5.25" customHeight="1">
      <c r="A46" s="59"/>
      <c r="B46" s="59"/>
      <c r="C46" s="59"/>
      <c r="D46" s="59"/>
      <c r="E46" s="59"/>
      <c r="F46" s="59"/>
      <c r="G46" s="59"/>
      <c r="H46" s="59"/>
      <c r="I46" s="59"/>
      <c r="J46" s="59"/>
      <c r="K46" s="59"/>
      <c r="L46" s="59"/>
      <c r="M46" s="69"/>
      <c r="N46" s="59"/>
    </row>
    <row r="47" spans="1:14" ht="15" customHeight="1">
      <c r="A47" s="60" t="s">
        <v>1139</v>
      </c>
      <c r="B47" s="60"/>
      <c r="C47" s="27"/>
      <c r="D47" s="27"/>
      <c r="E47" s="27"/>
      <c r="F47" s="27"/>
      <c r="G47" s="27"/>
      <c r="H47" s="27"/>
      <c r="I47" s="27"/>
      <c r="J47" s="27"/>
      <c r="K47" s="72"/>
    </row>
    <row r="48" spans="1:14" ht="3" customHeight="1">
      <c r="A48" s="60"/>
      <c r="B48" s="60"/>
      <c r="C48" s="27"/>
      <c r="D48" s="27"/>
      <c r="E48" s="27"/>
      <c r="F48" s="27"/>
      <c r="G48" s="27"/>
      <c r="H48" s="27"/>
      <c r="I48" s="27"/>
      <c r="J48" s="27"/>
      <c r="K48" s="72"/>
    </row>
    <row r="49" spans="1:12" ht="15" customHeight="1">
      <c r="A49" s="60" t="s">
        <v>37</v>
      </c>
      <c r="B49" s="60"/>
      <c r="C49" s="60" t="s">
        <v>2</v>
      </c>
      <c r="D49" s="60" t="str">
        <f>ppk_nama</f>
        <v>Ika Kurnia Mustika, ST, MT</v>
      </c>
      <c r="E49" s="60"/>
      <c r="F49" s="60"/>
      <c r="G49" s="60"/>
      <c r="H49" s="60"/>
      <c r="I49" s="60"/>
      <c r="J49" s="60"/>
      <c r="K49" s="72"/>
    </row>
    <row r="50" spans="1:12" ht="15" customHeight="1">
      <c r="A50" s="60" t="s">
        <v>50</v>
      </c>
      <c r="B50" s="60"/>
      <c r="C50" s="60" t="s">
        <v>2</v>
      </c>
      <c r="D50" s="60" t="str">
        <f>ppk_jab</f>
        <v>Pejabat Pembuat Komitmen</v>
      </c>
      <c r="E50" s="60"/>
      <c r="F50" s="60"/>
      <c r="G50" s="60"/>
      <c r="H50" s="60"/>
      <c r="I50" s="60"/>
      <c r="J50" s="60"/>
      <c r="K50" s="72"/>
    </row>
    <row r="51" spans="1:12" ht="15" customHeight="1">
      <c r="A51" s="60" t="s">
        <v>190</v>
      </c>
      <c r="B51" s="60"/>
      <c r="C51" s="60" t="s">
        <v>2</v>
      </c>
      <c r="D51" s="884" t="str">
        <f>opd_almt</f>
        <v>Jalan Pejanggik Nomor 14 Telp.( 0370 ) 627689, 625345 Fax: 627677</v>
      </c>
      <c r="E51" s="884"/>
      <c r="F51" s="884"/>
      <c r="G51" s="884"/>
      <c r="H51" s="884"/>
      <c r="I51" s="884"/>
      <c r="J51" s="884"/>
      <c r="K51" s="884"/>
    </row>
    <row r="52" spans="1:12" ht="15" customHeight="1">
      <c r="A52" s="60" t="str">
        <f>"selanjutnya disebut sebagai Pejabat Penandatangan Kontrak;"</f>
        <v>selanjutnya disebut sebagai Pejabat Penandatangan Kontrak;</v>
      </c>
      <c r="B52" s="60"/>
      <c r="C52" s="60"/>
      <c r="D52" s="60"/>
      <c r="E52" s="60"/>
      <c r="F52" s="60"/>
      <c r="G52" s="60"/>
      <c r="H52" s="60"/>
      <c r="I52" s="60"/>
      <c r="J52" s="60"/>
      <c r="K52" s="72"/>
    </row>
    <row r="53" spans="1:12" ht="3" customHeight="1">
      <c r="A53" s="60"/>
      <c r="B53" s="60"/>
      <c r="C53" s="60"/>
      <c r="D53" s="60"/>
      <c r="E53" s="60"/>
      <c r="F53" s="60"/>
      <c r="G53" s="60"/>
      <c r="H53" s="60"/>
      <c r="I53" s="60"/>
      <c r="J53" s="60"/>
      <c r="K53" s="72"/>
    </row>
    <row r="54" spans="1:12" ht="15" customHeight="1">
      <c r="A54" s="884" t="str">
        <f>"berdasarkan "&amp;kontrak_bentuk&amp;" "&amp;paket&amp;" pada "&amp;opd_nama&amp;" nomor "&amp;Input!$D$91&amp;" tanggal "&amp;TEXT(Input!$F$91,"[$-421]d mmmm yyyy")&amp;", bersama ini memerintahkan:"</f>
        <v>berdasarkan Surat Perjanjian Kerja Belanja Pemeliharaan Bangunan Gedung-Bangunan Gedung Tempat Kerja-Bangunan Gedung Kantor-Pemeliharaan Gedung Bertingkat pada Badan Pengelolaan Keuangan dan Aset Daerah nomor 027.1/1/SPK/BPKAD/2025 tanggal 3 Agustus 2023, bersama ini memerintahkan:</v>
      </c>
      <c r="B54" s="884"/>
      <c r="C54" s="884"/>
      <c r="D54" s="884"/>
      <c r="E54" s="884"/>
      <c r="F54" s="884"/>
      <c r="G54" s="884"/>
      <c r="H54" s="884"/>
      <c r="I54" s="884"/>
      <c r="J54" s="884"/>
      <c r="K54" s="884"/>
    </row>
    <row r="55" spans="1:12" ht="32.25" customHeight="1">
      <c r="A55" s="884"/>
      <c r="B55" s="884"/>
      <c r="C55" s="884"/>
      <c r="D55" s="884"/>
      <c r="E55" s="884"/>
      <c r="F55" s="884"/>
      <c r="G55" s="884"/>
      <c r="H55" s="884"/>
      <c r="I55" s="884"/>
      <c r="J55" s="884"/>
      <c r="K55" s="884"/>
    </row>
    <row r="56" spans="1:12" ht="5.25" customHeight="1">
      <c r="A56" s="60"/>
      <c r="B56" s="60"/>
      <c r="C56" s="27"/>
      <c r="D56" s="27"/>
      <c r="E56" s="27"/>
      <c r="F56" s="27"/>
      <c r="G56" s="27"/>
      <c r="H56" s="27"/>
      <c r="I56" s="27"/>
      <c r="J56" s="27"/>
      <c r="K56" s="72"/>
    </row>
    <row r="57" spans="1:12" ht="15" customHeight="1">
      <c r="A57" s="60" t="s">
        <v>186</v>
      </c>
      <c r="B57" s="60"/>
      <c r="C57" s="60" t="s">
        <v>2</v>
      </c>
      <c r="D57" s="60" t="str">
        <f>bu_nama</f>
        <v>PT. DARUSSALAM MEDIA GROUP</v>
      </c>
      <c r="E57" s="60"/>
      <c r="F57" s="60"/>
      <c r="G57" s="60"/>
      <c r="H57" s="60"/>
      <c r="I57" s="60"/>
      <c r="J57" s="60"/>
      <c r="K57" s="72"/>
    </row>
    <row r="58" spans="1:12" ht="15" customHeight="1">
      <c r="A58" s="60" t="s">
        <v>190</v>
      </c>
      <c r="B58" s="60"/>
      <c r="C58" s="60" t="s">
        <v>2</v>
      </c>
      <c r="D58" s="884" t="str">
        <f>bu_almt</f>
        <v>JL Meninting 13 No.. 22C BTN Kekalik, Kel. Pagesangan Barat, Kota Mataram, Provinsi Nusa Tenggara Barat</v>
      </c>
      <c r="E58" s="884"/>
      <c r="F58" s="884"/>
      <c r="G58" s="884"/>
      <c r="H58" s="884"/>
      <c r="I58" s="884"/>
      <c r="J58" s="884"/>
      <c r="K58" s="884"/>
    </row>
    <row r="59" spans="1:12" ht="3" customHeight="1">
      <c r="A59" s="60"/>
      <c r="B59" s="60"/>
      <c r="C59" s="60"/>
      <c r="D59" s="60"/>
      <c r="E59" s="60"/>
      <c r="F59" s="60"/>
      <c r="G59" s="60"/>
      <c r="H59" s="60"/>
      <c r="I59" s="60"/>
      <c r="J59" s="60"/>
      <c r="K59" s="72"/>
    </row>
    <row r="60" spans="1:12" ht="15" customHeight="1">
      <c r="A60" s="60" t="str">
        <f>"yang dalam hal ini diwakili oleh "&amp;bu_pimn&amp;" selanjutnya disebut sebagai Penyedia;"</f>
        <v>yang dalam hal ini diwakili oleh Saripudin selanjutnya disebut sebagai Penyedia;</v>
      </c>
      <c r="B60" s="60"/>
      <c r="C60" s="60"/>
      <c r="D60" s="60"/>
      <c r="E60" s="60"/>
      <c r="F60" s="60"/>
      <c r="G60" s="60"/>
      <c r="H60" s="60"/>
      <c r="I60" s="60"/>
      <c r="J60" s="60"/>
      <c r="K60" s="72"/>
    </row>
    <row r="61" spans="1:12" ht="15" customHeight="1">
      <c r="A61" s="60" t="s">
        <v>1140</v>
      </c>
      <c r="B61" s="60"/>
      <c r="C61" s="27"/>
      <c r="D61" s="27"/>
      <c r="E61" s="27"/>
      <c r="F61" s="27"/>
      <c r="G61" s="27"/>
      <c r="H61" s="27"/>
      <c r="I61" s="27"/>
      <c r="J61" s="27"/>
      <c r="K61" s="72"/>
    </row>
    <row r="62" spans="1:12" ht="3" customHeight="1">
      <c r="A62" s="60"/>
      <c r="B62" s="60"/>
      <c r="C62" s="60"/>
      <c r="D62" s="60"/>
      <c r="E62" s="60"/>
      <c r="F62" s="60"/>
      <c r="G62" s="60"/>
      <c r="H62" s="60"/>
      <c r="I62" s="60"/>
      <c r="J62" s="60"/>
      <c r="K62" s="60"/>
    </row>
    <row r="63" spans="1:12" ht="15" customHeight="1">
      <c r="A63" s="796" t="s">
        <v>419</v>
      </c>
      <c r="B63" s="37" t="str">
        <f>"Rincian "&amp;IF(jenis="Barang","Barang","Pekerjaan")&amp;":"</f>
        <v>Rincian Pekerjaan:</v>
      </c>
      <c r="C63" s="37"/>
      <c r="D63" s="37"/>
      <c r="E63" s="37"/>
      <c r="F63" s="37"/>
      <c r="G63" s="37"/>
      <c r="H63" s="37"/>
      <c r="I63" s="37"/>
      <c r="J63" s="37"/>
      <c r="K63" s="37"/>
    </row>
    <row r="64" spans="1:12" s="56" customFormat="1" ht="32.85" customHeight="1">
      <c r="B64" s="161" t="s">
        <v>258</v>
      </c>
      <c r="C64" s="1252" t="s">
        <v>298</v>
      </c>
      <c r="D64" s="1253"/>
      <c r="E64" s="1253"/>
      <c r="F64" s="1253"/>
      <c r="G64" s="1254"/>
      <c r="H64" s="161" t="s">
        <v>380</v>
      </c>
      <c r="I64" s="161" t="s">
        <v>381</v>
      </c>
      <c r="J64" s="172" t="s">
        <v>382</v>
      </c>
      <c r="K64" s="172" t="s">
        <v>1141</v>
      </c>
      <c r="L64" s="37"/>
    </row>
    <row r="65" spans="2:12" s="56" customFormat="1" ht="13.35" customHeight="1">
      <c r="B65" s="162">
        <v>1</v>
      </c>
      <c r="C65" s="1255" t="str">
        <f>PPK.HPS!B16</f>
        <v>PEKERJAAN PERSIAPAN</v>
      </c>
      <c r="D65" s="1256"/>
      <c r="E65" s="1256"/>
      <c r="F65" s="1256"/>
      <c r="G65" s="1257"/>
      <c r="H65" s="163">
        <f>PPK.HPS!F16</f>
        <v>0</v>
      </c>
      <c r="I65" s="165">
        <f>PPK.HPS!G16</f>
        <v>0</v>
      </c>
      <c r="J65" s="165">
        <f>Nego!I$9</f>
        <v>0</v>
      </c>
      <c r="K65" s="165">
        <f>I65*J65</f>
        <v>0</v>
      </c>
      <c r="L65" s="37"/>
    </row>
    <row r="66" spans="2:12" s="56" customFormat="1" ht="13.35" customHeight="1">
      <c r="B66" s="162" t="str">
        <f>IF(AND(B65&lt;&gt;0,D66&lt;&gt;0),B65+1,"")</f>
        <v/>
      </c>
      <c r="C66" s="1258" t="str">
        <f>PPK.HPS!B17</f>
        <v>Pengukuran</v>
      </c>
      <c r="D66" s="1259"/>
      <c r="E66" s="1259"/>
      <c r="F66" s="1259"/>
      <c r="G66" s="1260"/>
      <c r="H66" s="163" t="str">
        <f>PPK.HPS!F17</f>
        <v>keg</v>
      </c>
      <c r="I66" s="165">
        <f>PPK.HPS!G17</f>
        <v>1</v>
      </c>
      <c r="J66" s="165">
        <f>Nego!I10</f>
        <v>200000</v>
      </c>
      <c r="K66" s="165">
        <f t="shared" ref="K66:K88" si="0">I66*J66</f>
        <v>200000</v>
      </c>
      <c r="L66" s="37"/>
    </row>
    <row r="67" spans="2:12" s="56" customFormat="1" ht="13.35" customHeight="1">
      <c r="B67" s="162" t="str">
        <f t="shared" ref="B67:B91" si="1">IF(AND(B66&lt;&gt;0,D67&lt;&gt;0),B66+1,"")</f>
        <v/>
      </c>
      <c r="C67" s="1258" t="str">
        <f>PPK.HPS!B18</f>
        <v>Pembersihan Lokasi</v>
      </c>
      <c r="D67" s="1259"/>
      <c r="E67" s="1259"/>
      <c r="F67" s="1259"/>
      <c r="G67" s="1260"/>
      <c r="H67" s="163" t="str">
        <f>PPK.HPS!F18</f>
        <v>keg</v>
      </c>
      <c r="I67" s="165">
        <f>PPK.HPS!G18</f>
        <v>1</v>
      </c>
      <c r="J67" s="165">
        <f>Nego!I11</f>
        <v>300000</v>
      </c>
      <c r="K67" s="165">
        <f t="shared" si="0"/>
        <v>300000</v>
      </c>
      <c r="L67" s="37"/>
    </row>
    <row r="68" spans="2:12" s="56" customFormat="1" ht="13.35" customHeight="1">
      <c r="B68" s="162" t="str">
        <f t="shared" si="1"/>
        <v/>
      </c>
      <c r="C68" s="1258">
        <f>PPK.HPS!B19</f>
        <v>0</v>
      </c>
      <c r="D68" s="1259"/>
      <c r="E68" s="1259"/>
      <c r="F68" s="1259"/>
      <c r="G68" s="1260"/>
      <c r="H68" s="163">
        <f>PPK.HPS!F19</f>
        <v>0</v>
      </c>
      <c r="I68" s="165">
        <f>PPK.HPS!G19</f>
        <v>0</v>
      </c>
      <c r="J68" s="165">
        <f>Nego!I12</f>
        <v>0</v>
      </c>
      <c r="K68" s="165">
        <f t="shared" si="0"/>
        <v>0</v>
      </c>
      <c r="L68" s="37"/>
    </row>
    <row r="69" spans="2:12" s="56" customFormat="1" ht="12.75" customHeight="1">
      <c r="B69" s="162" t="str">
        <f t="shared" si="1"/>
        <v/>
      </c>
      <c r="C69" s="1258" t="str">
        <f>PPK.HPS!B20</f>
        <v>SMK3 KONSTRUKSI</v>
      </c>
      <c r="D69" s="1259"/>
      <c r="E69" s="1259"/>
      <c r="F69" s="1259"/>
      <c r="G69" s="1260"/>
      <c r="H69" s="163">
        <f>PPK.HPS!F20</f>
        <v>0</v>
      </c>
      <c r="I69" s="165">
        <f>PPK.HPS!G20</f>
        <v>0</v>
      </c>
      <c r="J69" s="165">
        <f>Nego!I13</f>
        <v>0</v>
      </c>
      <c r="K69" s="165">
        <f t="shared" si="0"/>
        <v>0</v>
      </c>
      <c r="L69" s="37"/>
    </row>
    <row r="70" spans="2:12" s="56" customFormat="1" ht="12.75" customHeight="1">
      <c r="B70" s="162" t="str">
        <f t="shared" si="1"/>
        <v/>
      </c>
      <c r="C70" s="1258" t="str">
        <f>PPK.HPS!B21</f>
        <v>Alat Pelindung Kerja dan Alat Pelindung Diri</v>
      </c>
      <c r="D70" s="1259"/>
      <c r="E70" s="1259"/>
      <c r="F70" s="1259"/>
      <c r="G70" s="1260"/>
      <c r="H70" s="163" t="str">
        <f>PPK.HPS!F21</f>
        <v>set</v>
      </c>
      <c r="I70" s="165">
        <f>PPK.HPS!G21</f>
        <v>5</v>
      </c>
      <c r="J70" s="165">
        <f>Nego!I14</f>
        <v>75000</v>
      </c>
      <c r="K70" s="165">
        <f t="shared" si="0"/>
        <v>375000</v>
      </c>
      <c r="L70" s="37"/>
    </row>
    <row r="71" spans="2:12" s="56" customFormat="1" ht="12.75" customHeight="1">
      <c r="B71" s="162" t="str">
        <f t="shared" si="1"/>
        <v/>
      </c>
      <c r="C71" s="1258">
        <f>PPK.HPS!B22</f>
        <v>0</v>
      </c>
      <c r="D71" s="1259"/>
      <c r="E71" s="1259"/>
      <c r="F71" s="1259"/>
      <c r="G71" s="1260"/>
      <c r="H71" s="163">
        <f>PPK.HPS!F22</f>
        <v>0</v>
      </c>
      <c r="I71" s="165">
        <f>PPK.HPS!G22</f>
        <v>0</v>
      </c>
      <c r="J71" s="165">
        <f>Nego!I15</f>
        <v>0</v>
      </c>
      <c r="K71" s="165">
        <f t="shared" si="0"/>
        <v>0</v>
      </c>
      <c r="L71" s="37"/>
    </row>
    <row r="72" spans="2:12" s="56" customFormat="1" ht="12.75" customHeight="1">
      <c r="B72" s="162" t="str">
        <f t="shared" si="1"/>
        <v/>
      </c>
      <c r="C72" s="1258" t="str">
        <f>PPK.HPS!B23</f>
        <v>PEKERJAAN PENGECATAN</v>
      </c>
      <c r="D72" s="1259"/>
      <c r="E72" s="1259"/>
      <c r="F72" s="1259"/>
      <c r="G72" s="1260"/>
      <c r="H72" s="163">
        <f>PPK.HPS!F23</f>
        <v>0</v>
      </c>
      <c r="I72" s="165">
        <f>PPK.HPS!G23</f>
        <v>0</v>
      </c>
      <c r="J72" s="165">
        <f>Nego!I16</f>
        <v>0</v>
      </c>
      <c r="K72" s="165">
        <f t="shared" si="0"/>
        <v>0</v>
      </c>
      <c r="L72" s="37"/>
    </row>
    <row r="73" spans="2:12" s="56" customFormat="1" ht="12.75" customHeight="1">
      <c r="B73" s="162" t="str">
        <f t="shared" si="1"/>
        <v/>
      </c>
      <c r="C73" s="1258" t="str">
        <f>PPK.HPS!B24</f>
        <v>Sewa stager</v>
      </c>
      <c r="D73" s="1259"/>
      <c r="E73" s="1259"/>
      <c r="F73" s="1259"/>
      <c r="G73" s="1260"/>
      <c r="H73" s="163" t="str">
        <f>PPK.HPS!F24</f>
        <v>keg</v>
      </c>
      <c r="I73" s="165">
        <f>PPK.HPS!G24</f>
        <v>1</v>
      </c>
      <c r="J73" s="165">
        <f>Nego!I17</f>
        <v>4500000</v>
      </c>
      <c r="K73" s="165">
        <f t="shared" si="0"/>
        <v>4500000</v>
      </c>
      <c r="L73" s="37"/>
    </row>
    <row r="74" spans="2:12" s="56" customFormat="1" ht="12.75" customHeight="1">
      <c r="B74" s="162" t="str">
        <f t="shared" si="1"/>
        <v/>
      </c>
      <c r="C74" s="1258" t="str">
        <f>PPK.HPS!B25</f>
        <v xml:space="preserve">Pengerokan cat yang terkelupas </v>
      </c>
      <c r="D74" s="1259"/>
      <c r="E74" s="1259"/>
      <c r="F74" s="1259"/>
      <c r="G74" s="1260"/>
      <c r="H74" s="163" t="str">
        <f>PPK.HPS!F25</f>
        <v>m2</v>
      </c>
      <c r="I74" s="165">
        <f>PPK.HPS!G25</f>
        <v>168.58</v>
      </c>
      <c r="J74" s="165">
        <f>Nego!I18</f>
        <v>19719.974999999999</v>
      </c>
      <c r="K74" s="165">
        <f t="shared" si="0"/>
        <v>3324393.3854999999</v>
      </c>
      <c r="L74" s="37"/>
    </row>
    <row r="75" spans="2:12" s="56" customFormat="1" ht="12.75" customHeight="1">
      <c r="B75" s="162" t="str">
        <f t="shared" si="1"/>
        <v/>
      </c>
      <c r="C75" s="1258" t="str">
        <f>PPK.HPS!B26</f>
        <v>Pengecatan ulang dinding luar</v>
      </c>
      <c r="D75" s="1259"/>
      <c r="E75" s="1259"/>
      <c r="F75" s="1259"/>
      <c r="G75" s="1260"/>
      <c r="H75" s="163" t="str">
        <f>PPK.HPS!F26</f>
        <v>m2</v>
      </c>
      <c r="I75" s="165">
        <f>PPK.HPS!G26</f>
        <v>842.91</v>
      </c>
      <c r="J75" s="165">
        <f>Nego!I19</f>
        <v>40683.290999999997</v>
      </c>
      <c r="K75" s="165">
        <f t="shared" si="0"/>
        <v>34292352.816809997</v>
      </c>
      <c r="L75" s="37"/>
    </row>
    <row r="76" spans="2:12" s="56" customFormat="1" ht="12.75" customHeight="1">
      <c r="B76" s="162" t="str">
        <f t="shared" si="1"/>
        <v/>
      </c>
      <c r="C76" s="1258" t="str">
        <f>PPK.HPS!B27</f>
        <v>Pengecatan ACP dengan cat besi</v>
      </c>
      <c r="D76" s="1259"/>
      <c r="E76" s="1259"/>
      <c r="F76" s="1259"/>
      <c r="G76" s="1260"/>
      <c r="H76" s="163" t="str">
        <f>PPK.HPS!F27</f>
        <v>m2</v>
      </c>
      <c r="I76" s="165">
        <f>PPK.HPS!G27</f>
        <v>419</v>
      </c>
      <c r="J76" s="165">
        <f>Nego!I20</f>
        <v>47607.593000000001</v>
      </c>
      <c r="K76" s="165">
        <f t="shared" si="0"/>
        <v>19947581.467</v>
      </c>
      <c r="L76" s="37"/>
    </row>
    <row r="77" spans="2:12" s="56" customFormat="1" ht="12.75" customHeight="1">
      <c r="B77" s="162" t="str">
        <f t="shared" si="1"/>
        <v/>
      </c>
      <c r="C77" s="1258">
        <f>PPK.HPS!B28</f>
        <v>0</v>
      </c>
      <c r="D77" s="1259"/>
      <c r="E77" s="1259"/>
      <c r="F77" s="1259"/>
      <c r="G77" s="1260"/>
      <c r="H77" s="163">
        <f>PPK.HPS!F28</f>
        <v>0</v>
      </c>
      <c r="I77" s="165">
        <f>PPK.HPS!G28</f>
        <v>0</v>
      </c>
      <c r="J77" s="165">
        <f>Nego!I21</f>
        <v>0</v>
      </c>
      <c r="K77" s="165">
        <f t="shared" si="0"/>
        <v>0</v>
      </c>
      <c r="L77" s="37"/>
    </row>
    <row r="78" spans="2:12" s="56" customFormat="1" ht="12.75" customHeight="1">
      <c r="B78" s="162" t="str">
        <f t="shared" si="1"/>
        <v/>
      </c>
      <c r="C78" s="1258">
        <f>PPK.HPS!B29</f>
        <v>0</v>
      </c>
      <c r="D78" s="1259"/>
      <c r="E78" s="1259"/>
      <c r="F78" s="1259"/>
      <c r="G78" s="1260"/>
      <c r="H78" s="163">
        <f>PPK.HPS!F29</f>
        <v>0</v>
      </c>
      <c r="I78" s="165">
        <f>PPK.HPS!G29</f>
        <v>0</v>
      </c>
      <c r="J78" s="165">
        <f>Nego!I22</f>
        <v>0</v>
      </c>
      <c r="K78" s="165">
        <f t="shared" si="0"/>
        <v>0</v>
      </c>
      <c r="L78" s="37"/>
    </row>
    <row r="79" spans="2:12" s="56" customFormat="1" ht="12.75" customHeight="1">
      <c r="B79" s="162" t="str">
        <f t="shared" si="1"/>
        <v/>
      </c>
      <c r="C79" s="1258">
        <f>PPK.HPS!B30</f>
        <v>0</v>
      </c>
      <c r="D79" s="1259"/>
      <c r="E79" s="1259"/>
      <c r="F79" s="1259"/>
      <c r="G79" s="1260"/>
      <c r="H79" s="163">
        <f>PPK.HPS!F30</f>
        <v>0</v>
      </c>
      <c r="I79" s="165">
        <f>PPK.HPS!G30</f>
        <v>0</v>
      </c>
      <c r="J79" s="165">
        <f>Nego!I23</f>
        <v>0</v>
      </c>
      <c r="K79" s="165">
        <f t="shared" si="0"/>
        <v>0</v>
      </c>
      <c r="L79" s="37"/>
    </row>
    <row r="80" spans="2:12" s="56" customFormat="1" ht="12.75" customHeight="1">
      <c r="B80" s="162" t="str">
        <f t="shared" si="1"/>
        <v/>
      </c>
      <c r="C80" s="1258">
        <f>PPK.HPS!B31</f>
        <v>0</v>
      </c>
      <c r="D80" s="1259"/>
      <c r="E80" s="1259"/>
      <c r="F80" s="1259"/>
      <c r="G80" s="1260"/>
      <c r="H80" s="163">
        <f>PPK.HPS!F31</f>
        <v>0</v>
      </c>
      <c r="I80" s="165">
        <f>PPK.HPS!G31</f>
        <v>0</v>
      </c>
      <c r="J80" s="165">
        <f>Nego!I24</f>
        <v>0</v>
      </c>
      <c r="K80" s="165">
        <f t="shared" si="0"/>
        <v>0</v>
      </c>
      <c r="L80" s="37"/>
    </row>
    <row r="81" spans="1:13" s="56" customFormat="1" ht="12.75" customHeight="1">
      <c r="B81" s="162" t="str">
        <f t="shared" si="1"/>
        <v/>
      </c>
      <c r="C81" s="1258">
        <f>PPK.HPS!B32</f>
        <v>0</v>
      </c>
      <c r="D81" s="1259"/>
      <c r="E81" s="1259"/>
      <c r="F81" s="1259"/>
      <c r="G81" s="1260"/>
      <c r="H81" s="163">
        <f>PPK.HPS!F32</f>
        <v>0</v>
      </c>
      <c r="I81" s="165">
        <f>PPK.HPS!G32</f>
        <v>0</v>
      </c>
      <c r="J81" s="165">
        <f>Nego!I25</f>
        <v>0</v>
      </c>
      <c r="K81" s="165">
        <f t="shared" si="0"/>
        <v>0</v>
      </c>
      <c r="L81" s="37"/>
    </row>
    <row r="82" spans="1:13" s="56" customFormat="1" ht="12.75" customHeight="1">
      <c r="B82" s="162"/>
      <c r="C82" s="1258">
        <f>PPK.HPS!B33</f>
        <v>0</v>
      </c>
      <c r="D82" s="1259"/>
      <c r="E82" s="1259"/>
      <c r="F82" s="1259"/>
      <c r="G82" s="1260"/>
      <c r="H82" s="163">
        <f>PPK.HPS!F33</f>
        <v>0</v>
      </c>
      <c r="I82" s="165">
        <f>PPK.HPS!G33</f>
        <v>0</v>
      </c>
      <c r="J82" s="165">
        <f>Nego!I26</f>
        <v>0</v>
      </c>
      <c r="K82" s="165">
        <f t="shared" si="0"/>
        <v>0</v>
      </c>
      <c r="L82" s="37"/>
    </row>
    <row r="83" spans="1:13" s="56" customFormat="1" ht="12.75" customHeight="1">
      <c r="B83" s="162"/>
      <c r="C83" s="1258">
        <f>PPK.HPS!B34</f>
        <v>0</v>
      </c>
      <c r="D83" s="1259"/>
      <c r="E83" s="1259"/>
      <c r="F83" s="1259"/>
      <c r="G83" s="1260"/>
      <c r="H83" s="163">
        <f>PPK.HPS!F34</f>
        <v>0</v>
      </c>
      <c r="I83" s="165">
        <f>PPK.HPS!G34</f>
        <v>0</v>
      </c>
      <c r="J83" s="165">
        <f>Nego!I27</f>
        <v>0</v>
      </c>
      <c r="K83" s="165">
        <f t="shared" si="0"/>
        <v>0</v>
      </c>
      <c r="L83" s="37"/>
    </row>
    <row r="84" spans="1:13" s="56" customFormat="1" ht="12.75" customHeight="1">
      <c r="B84" s="162"/>
      <c r="C84" s="1258">
        <f>PPK.HPS!B35</f>
        <v>0</v>
      </c>
      <c r="D84" s="1259"/>
      <c r="E84" s="1259"/>
      <c r="F84" s="1259"/>
      <c r="G84" s="1260"/>
      <c r="H84" s="163">
        <f>PPK.HPS!F35</f>
        <v>0</v>
      </c>
      <c r="I84" s="165">
        <f>PPK.HPS!G35</f>
        <v>0</v>
      </c>
      <c r="J84" s="165">
        <f>Nego!I28</f>
        <v>0</v>
      </c>
      <c r="K84" s="165">
        <f t="shared" si="0"/>
        <v>0</v>
      </c>
      <c r="L84" s="37"/>
    </row>
    <row r="85" spans="1:13" s="56" customFormat="1" ht="12.75" customHeight="1">
      <c r="B85" s="162"/>
      <c r="C85" s="1258">
        <f>PPK.HPS!B36</f>
        <v>0</v>
      </c>
      <c r="D85" s="1259"/>
      <c r="E85" s="1259"/>
      <c r="F85" s="1259"/>
      <c r="G85" s="1260"/>
      <c r="H85" s="163">
        <f>PPK.HPS!F36</f>
        <v>0</v>
      </c>
      <c r="I85" s="165">
        <f>PPK.HPS!G36</f>
        <v>0</v>
      </c>
      <c r="J85" s="165">
        <f>Nego!I29</f>
        <v>0</v>
      </c>
      <c r="K85" s="165">
        <f t="shared" si="0"/>
        <v>0</v>
      </c>
      <c r="L85" s="37"/>
    </row>
    <row r="86" spans="1:13" s="56" customFormat="1" ht="12.75" customHeight="1">
      <c r="B86" s="162"/>
      <c r="C86" s="1258">
        <f>PPK.HPS!B37</f>
        <v>0</v>
      </c>
      <c r="D86" s="1259"/>
      <c r="E86" s="1259"/>
      <c r="F86" s="1259"/>
      <c r="G86" s="1260"/>
      <c r="H86" s="163">
        <f>PPK.HPS!F37</f>
        <v>0</v>
      </c>
      <c r="I86" s="165">
        <f>PPK.HPS!G37</f>
        <v>0</v>
      </c>
      <c r="J86" s="165">
        <f>Nego!I30</f>
        <v>0</v>
      </c>
      <c r="K86" s="165">
        <f t="shared" si="0"/>
        <v>0</v>
      </c>
      <c r="L86" s="37"/>
    </row>
    <row r="87" spans="1:13" s="56" customFormat="1" ht="12.75" customHeight="1">
      <c r="B87" s="162"/>
      <c r="C87" s="1258">
        <f>PPK.HPS!B38</f>
        <v>0</v>
      </c>
      <c r="D87" s="1259"/>
      <c r="E87" s="1259"/>
      <c r="F87" s="1259"/>
      <c r="G87" s="1260"/>
      <c r="H87" s="163">
        <f>PPK.HPS!F38</f>
        <v>0</v>
      </c>
      <c r="I87" s="165">
        <f>PPK.HPS!G38</f>
        <v>0</v>
      </c>
      <c r="J87" s="165">
        <f>Nego!I31</f>
        <v>0</v>
      </c>
      <c r="K87" s="165">
        <f t="shared" si="0"/>
        <v>0</v>
      </c>
      <c r="L87" s="37"/>
    </row>
    <row r="88" spans="1:13" s="56" customFormat="1" ht="12.75" customHeight="1">
      <c r="B88" s="162" t="str">
        <f>IF(AND(B81&lt;&gt;0,D88&lt;&gt;0),B81+1,"")</f>
        <v/>
      </c>
      <c r="C88" s="1258">
        <f>PPK.HPS!B39</f>
        <v>0</v>
      </c>
      <c r="D88" s="1259"/>
      <c r="E88" s="1259"/>
      <c r="F88" s="1259"/>
      <c r="G88" s="1260"/>
      <c r="H88" s="163">
        <f>PPK.HPS!F39</f>
        <v>0</v>
      </c>
      <c r="I88" s="165">
        <f>PPK.HPS!G39</f>
        <v>0</v>
      </c>
      <c r="J88" s="165">
        <f>Nego!I32</f>
        <v>0</v>
      </c>
      <c r="K88" s="165">
        <f t="shared" si="0"/>
        <v>0</v>
      </c>
      <c r="L88" s="37"/>
    </row>
    <row r="89" spans="1:13" s="56" customFormat="1" ht="12.75" customHeight="1">
      <c r="B89" s="162" t="str">
        <f t="shared" si="1"/>
        <v/>
      </c>
      <c r="C89" s="1261"/>
      <c r="D89" s="1262"/>
      <c r="E89" s="1262"/>
      <c r="F89" s="1262"/>
      <c r="G89" s="1262"/>
      <c r="H89" s="174"/>
      <c r="I89" s="176"/>
      <c r="J89" s="179" t="s">
        <v>376</v>
      </c>
      <c r="K89" s="180">
        <f>SUM(K65:K88)</f>
        <v>62939327.669309996</v>
      </c>
      <c r="L89" s="37"/>
    </row>
    <row r="90" spans="1:13" s="56" customFormat="1" ht="12.75" customHeight="1">
      <c r="B90" s="168" t="str">
        <f t="shared" si="1"/>
        <v/>
      </c>
      <c r="C90" s="1261"/>
      <c r="D90" s="1262"/>
      <c r="E90" s="1262"/>
      <c r="F90" s="1262"/>
      <c r="G90" s="1262"/>
      <c r="H90" s="174"/>
      <c r="I90" s="176"/>
      <c r="J90" s="181">
        <v>0.11</v>
      </c>
      <c r="K90" s="180">
        <f>K89*J90</f>
        <v>6923326.0436240993</v>
      </c>
      <c r="L90" s="37"/>
    </row>
    <row r="91" spans="1:13" s="56" customFormat="1" ht="12.75" customHeight="1">
      <c r="B91" s="173" t="str">
        <f t="shared" si="1"/>
        <v/>
      </c>
      <c r="C91" s="1261"/>
      <c r="D91" s="1262"/>
      <c r="E91" s="1262"/>
      <c r="F91" s="1262"/>
      <c r="G91" s="1262"/>
      <c r="H91" s="174"/>
      <c r="I91" s="176"/>
      <c r="J91" s="839" t="s">
        <v>1346</v>
      </c>
      <c r="K91" s="178">
        <f>ROUNDDOWN(K89+K90,-3)</f>
        <v>69862000</v>
      </c>
      <c r="L91" s="37"/>
      <c r="M91" s="112"/>
    </row>
    <row r="92" spans="1:13" s="56" customFormat="1" ht="15" customHeight="1">
      <c r="B92" s="37" t="s">
        <v>1142</v>
      </c>
      <c r="C92" s="37" t="s">
        <v>2</v>
      </c>
      <c r="D92" s="37" t="str">
        <f>PPK.HPS!A48</f>
        <v>Harga tersebut di atas sudah termasuk pajak-pajak dan biaya pungutan resmi lainnya.</v>
      </c>
      <c r="E92" s="64"/>
      <c r="F92" s="175"/>
      <c r="G92" s="175"/>
      <c r="H92" s="175"/>
      <c r="I92" s="175"/>
      <c r="J92" s="175"/>
      <c r="K92" s="175"/>
      <c r="L92" s="170"/>
      <c r="M92" s="37"/>
    </row>
    <row r="93" spans="1:13" s="56" customFormat="1" ht="3" customHeight="1">
      <c r="B93" s="37"/>
      <c r="C93" s="37"/>
      <c r="D93" s="64"/>
      <c r="E93" s="64"/>
      <c r="F93" s="170"/>
      <c r="G93" s="170"/>
      <c r="H93" s="170"/>
      <c r="I93" s="170"/>
      <c r="J93" s="170"/>
      <c r="K93" s="170"/>
      <c r="L93" s="170"/>
      <c r="M93" s="37"/>
    </row>
    <row r="94" spans="1:13" s="56" customFormat="1" ht="15" customHeight="1">
      <c r="A94" s="819" t="s">
        <v>422</v>
      </c>
      <c r="B94" s="159" t="s">
        <v>1143</v>
      </c>
      <c r="C94" s="37"/>
      <c r="D94" s="64"/>
      <c r="E94" s="53" t="s">
        <v>2</v>
      </c>
      <c r="F94" s="63" t="str">
        <f>TEXT(Input!$F$94,"[$-421]d mmmm yyyy")&amp;";"</f>
        <v>2 September 2023;</v>
      </c>
      <c r="G94" s="63"/>
      <c r="H94" s="44"/>
      <c r="I94" s="44"/>
      <c r="J94" s="73"/>
      <c r="K94" s="74"/>
      <c r="L94" s="74"/>
      <c r="M94" s="37"/>
    </row>
    <row r="95" spans="1:13" s="56" customFormat="1" ht="15" customHeight="1">
      <c r="A95" s="819" t="s">
        <v>425</v>
      </c>
      <c r="B95" s="159" t="s">
        <v>1144</v>
      </c>
      <c r="C95" s="37"/>
      <c r="D95" s="64"/>
      <c r="E95" s="53" t="s">
        <v>2</v>
      </c>
      <c r="F95" s="63" t="str">
        <f>"sesuai dengan persyaratan dan ketentuan "&amp;Input!E15&amp;""</f>
        <v>sesuai dengan persyaratan dan ketentuan SPK</v>
      </c>
      <c r="G95" s="63"/>
      <c r="H95" s="44"/>
      <c r="I95" s="44"/>
      <c r="J95" s="73"/>
      <c r="K95" s="74"/>
      <c r="L95" s="74"/>
      <c r="M95" s="37"/>
    </row>
    <row r="96" spans="1:13" s="56" customFormat="1" ht="15" customHeight="1">
      <c r="A96" s="819" t="s">
        <v>435</v>
      </c>
      <c r="B96" s="159" t="s">
        <v>1145</v>
      </c>
      <c r="C96" s="37"/>
      <c r="D96" s="64"/>
      <c r="E96" s="53" t="s">
        <v>2</v>
      </c>
      <c r="F96" s="1265" t="str">
        <f>"selama "&amp;masa&amp;" ("&amp;Input!$E$16&amp;") hari kalender dan pekerjaan harus sudah selesai pada tanggal "&amp;TEXT(Input!$F$93,"[$-421]d mmmm yyyy")</f>
        <v>selama 30 (tiga puluh) hari kalender dan pekerjaan harus sudah selesai pada tanggal 2 September 2023</v>
      </c>
      <c r="G96" s="1265"/>
      <c r="H96" s="1265"/>
      <c r="I96" s="1265"/>
      <c r="J96" s="1265"/>
      <c r="K96" s="1265"/>
      <c r="L96" s="74"/>
      <c r="M96" s="37"/>
    </row>
    <row r="97" spans="1:13" s="56" customFormat="1" ht="15" customHeight="1">
      <c r="B97" s="37"/>
      <c r="C97" s="37"/>
      <c r="D97" s="64"/>
      <c r="E97" s="53"/>
      <c r="F97" s="1265"/>
      <c r="G97" s="1265"/>
      <c r="H97" s="1265"/>
      <c r="I97" s="1265"/>
      <c r="J97" s="1265"/>
      <c r="K97" s="1265"/>
      <c r="L97" s="74"/>
      <c r="M97" s="37"/>
    </row>
    <row r="98" spans="1:13" s="56" customFormat="1" ht="15" customHeight="1">
      <c r="A98" s="819" t="s">
        <v>441</v>
      </c>
      <c r="B98" s="159" t="s">
        <v>1146</v>
      </c>
      <c r="C98" s="37"/>
      <c r="D98" s="64"/>
      <c r="E98" s="53" t="s">
        <v>2</v>
      </c>
      <c r="F98" s="1265" t="str">
        <f>Input!$D$18</f>
        <v>Kantor Badan Pengelolaan Keuangan dan Aset Daerah Jalan Pejanggik Nomor 14 Telp.( 0370 ) 627689, 625345 Fax: 627677</v>
      </c>
      <c r="G98" s="1265"/>
      <c r="H98" s="1265"/>
      <c r="I98" s="1265"/>
      <c r="J98" s="1265"/>
      <c r="K98" s="1265"/>
      <c r="L98" s="74"/>
      <c r="M98" s="37"/>
    </row>
    <row r="99" spans="1:13" s="56" customFormat="1" ht="15" customHeight="1">
      <c r="B99" s="159"/>
      <c r="C99" s="37"/>
      <c r="D99" s="64"/>
      <c r="E99" s="53"/>
      <c r="F99" s="1265"/>
      <c r="G99" s="1265"/>
      <c r="H99" s="1265"/>
      <c r="I99" s="1265"/>
      <c r="J99" s="1265"/>
      <c r="K99" s="1265"/>
      <c r="L99" s="74"/>
      <c r="M99" s="37"/>
    </row>
    <row r="100" spans="1:13" s="56" customFormat="1" ht="15" customHeight="1">
      <c r="A100" s="819" t="s">
        <v>444</v>
      </c>
      <c r="B100" s="159" t="s">
        <v>1147</v>
      </c>
      <c r="C100" s="37"/>
      <c r="D100" s="64"/>
      <c r="E100" s="53" t="s">
        <v>2</v>
      </c>
      <c r="F100" s="1265" t="str">
        <f>"Terhadap setiap hari keterlambatan penyelesaian pekerjaan Penyedia Jasa akan dikenakan Denda Keterlambatan sebesar 1/1000 (satu permil) dari nilai "&amp;Input!E15&amp;" (tidak termasuk PPN)."</f>
        <v>Terhadap setiap hari keterlambatan penyelesaian pekerjaan Penyedia Jasa akan dikenakan Denda Keterlambatan sebesar 1/1000 (satu permil) dari nilai SPK (tidak termasuk PPN).</v>
      </c>
      <c r="G100" s="1265"/>
      <c r="H100" s="1265"/>
      <c r="I100" s="1265"/>
      <c r="J100" s="1265"/>
      <c r="K100" s="1265"/>
      <c r="L100" s="74"/>
      <c r="M100" s="37"/>
    </row>
    <row r="101" spans="1:13" s="56" customFormat="1" ht="15" customHeight="1">
      <c r="B101" s="37"/>
      <c r="C101" s="37"/>
      <c r="D101" s="64"/>
      <c r="E101" s="64"/>
      <c r="F101" s="1265"/>
      <c r="G101" s="1265"/>
      <c r="H101" s="1265"/>
      <c r="I101" s="1265"/>
      <c r="J101" s="1265"/>
      <c r="K101" s="1265"/>
      <c r="L101" s="74"/>
      <c r="M101" s="37"/>
    </row>
    <row r="102" spans="1:13" s="56" customFormat="1" ht="15" customHeight="1">
      <c r="B102" s="37"/>
      <c r="C102" s="37"/>
      <c r="D102" s="64"/>
      <c r="E102" s="64"/>
      <c r="F102" s="1265"/>
      <c r="G102" s="1265"/>
      <c r="H102" s="1265"/>
      <c r="I102" s="1265"/>
      <c r="J102" s="1265"/>
      <c r="K102" s="1265"/>
      <c r="L102" s="74"/>
      <c r="M102" s="37"/>
    </row>
    <row r="103" spans="1:13" s="56" customFormat="1" ht="5.25" customHeight="1">
      <c r="B103" s="37"/>
      <c r="C103" s="37"/>
      <c r="D103" s="64"/>
      <c r="E103" s="64"/>
      <c r="F103" s="63"/>
      <c r="G103" s="63"/>
      <c r="H103" s="44"/>
      <c r="I103" s="44"/>
      <c r="J103" s="73"/>
      <c r="K103" s="74"/>
      <c r="L103" s="74"/>
      <c r="M103" s="37"/>
    </row>
    <row r="104" spans="1:13" s="56" customFormat="1" ht="15" customHeight="1">
      <c r="B104" s="37"/>
      <c r="C104" s="37"/>
      <c r="D104" s="64"/>
      <c r="E104" s="64"/>
      <c r="F104" s="63"/>
      <c r="G104" s="63"/>
      <c r="H104" s="44"/>
      <c r="I104" s="164" t="str">
        <f>ppk_lok&amp;", "&amp;TEXT(Input!$F$92,"[$-421]d mmmm yyyy")</f>
        <v>Mataram, 3 Agustus 2023</v>
      </c>
      <c r="K104" s="74"/>
      <c r="L104" s="74"/>
      <c r="M104" s="37"/>
    </row>
    <row r="105" spans="1:13" s="56" customFormat="1" ht="15" customHeight="1">
      <c r="B105" s="37"/>
      <c r="C105" s="37"/>
      <c r="D105" s="44" t="s">
        <v>1148</v>
      </c>
      <c r="E105" s="64"/>
      <c r="F105" s="63"/>
      <c r="G105" s="63"/>
      <c r="H105" s="44"/>
      <c r="I105" s="44" t="s">
        <v>415</v>
      </c>
      <c r="J105" s="73"/>
      <c r="K105" s="74"/>
      <c r="L105" s="74"/>
      <c r="M105" s="37"/>
    </row>
    <row r="106" spans="1:13" s="56" customFormat="1" ht="15" customHeight="1">
      <c r="B106" s="37"/>
      <c r="C106" s="37"/>
      <c r="D106" s="44" t="s">
        <v>415</v>
      </c>
      <c r="E106" s="64"/>
      <c r="F106" s="63"/>
      <c r="G106" s="63"/>
      <c r="H106" s="44"/>
      <c r="I106" s="67" t="str">
        <f>opd_nama</f>
        <v>Badan Pengelolaan Keuangan dan Aset Daerah</v>
      </c>
      <c r="J106" s="73"/>
      <c r="K106" s="74"/>
      <c r="L106" s="74"/>
      <c r="M106" s="37"/>
    </row>
    <row r="107" spans="1:13" s="56" customFormat="1" ht="15" customHeight="1">
      <c r="B107" s="37"/>
      <c r="C107" s="37"/>
      <c r="D107" s="66" t="str">
        <f>bu_nama</f>
        <v>PT. DARUSSALAM MEDIA GROUP</v>
      </c>
      <c r="E107" s="64"/>
      <c r="F107" s="63"/>
      <c r="G107" s="63"/>
      <c r="H107" s="44"/>
      <c r="I107" s="44" t="s">
        <v>1149</v>
      </c>
      <c r="J107" s="73"/>
      <c r="K107" s="74"/>
      <c r="L107" s="74"/>
      <c r="M107" s="37"/>
    </row>
    <row r="108" spans="1:13" s="56" customFormat="1" ht="15" customHeight="1">
      <c r="B108" s="37"/>
      <c r="C108" s="37"/>
      <c r="D108" s="64"/>
      <c r="E108" s="64"/>
      <c r="F108" s="63"/>
      <c r="G108" s="63"/>
      <c r="H108" s="44"/>
      <c r="I108" s="44"/>
      <c r="J108" s="73"/>
      <c r="K108" s="74"/>
      <c r="L108" s="74"/>
      <c r="M108" s="37"/>
    </row>
    <row r="109" spans="1:13" s="56" customFormat="1" ht="15" customHeight="1">
      <c r="B109" s="37"/>
      <c r="C109" s="37"/>
      <c r="D109" s="64"/>
      <c r="E109" s="64"/>
      <c r="F109" s="63"/>
      <c r="G109" s="63"/>
      <c r="H109" s="44"/>
      <c r="I109" s="44"/>
      <c r="J109" s="73"/>
      <c r="K109" s="74"/>
      <c r="L109" s="74"/>
      <c r="M109" s="37"/>
    </row>
    <row r="110" spans="1:13" s="56" customFormat="1" ht="15" customHeight="1">
      <c r="B110" s="37"/>
      <c r="C110" s="37"/>
      <c r="D110" s="64"/>
      <c r="E110" s="64"/>
      <c r="F110" s="63"/>
      <c r="G110" s="63"/>
      <c r="H110" s="44"/>
      <c r="I110" s="44"/>
      <c r="J110" s="73"/>
      <c r="K110" s="74"/>
      <c r="L110" s="74"/>
      <c r="M110" s="37"/>
    </row>
    <row r="111" spans="1:13" s="56" customFormat="1" ht="15" customHeight="1">
      <c r="B111" s="37"/>
      <c r="C111" s="37"/>
      <c r="D111" s="65" t="str">
        <f>bu_pimn</f>
        <v>Saripudin</v>
      </c>
      <c r="E111" s="64"/>
      <c r="F111" s="63"/>
      <c r="G111" s="63"/>
      <c r="H111" s="44"/>
      <c r="I111" s="65" t="str">
        <f>ppk_nama</f>
        <v>Ika Kurnia Mustika, ST, MT</v>
      </c>
      <c r="J111" s="73"/>
      <c r="K111" s="74"/>
      <c r="L111" s="74"/>
      <c r="M111" s="37"/>
    </row>
    <row r="112" spans="1:13" s="56" customFormat="1" ht="15" customHeight="1">
      <c r="B112" s="37"/>
      <c r="C112" s="37"/>
      <c r="D112" s="44" t="str">
        <f>bu_pim</f>
        <v>Direktur</v>
      </c>
      <c r="E112" s="64"/>
      <c r="F112" s="63"/>
      <c r="G112" s="63"/>
      <c r="H112" s="44"/>
      <c r="I112" s="44" t="str">
        <f>"NIP. "&amp;ppk_nip</f>
        <v>NIP. 19791117 200901 1 006</v>
      </c>
      <c r="J112" s="73"/>
      <c r="K112" s="74"/>
      <c r="L112" s="74"/>
      <c r="M112" s="37"/>
    </row>
    <row r="113" spans="1:14" ht="5.25" customHeight="1">
      <c r="A113" s="60"/>
      <c r="B113" s="60"/>
      <c r="C113" s="60"/>
      <c r="D113" s="60"/>
      <c r="E113" s="60"/>
      <c r="F113" s="60"/>
      <c r="G113" s="60"/>
      <c r="H113" s="60"/>
      <c r="I113" s="60"/>
      <c r="J113" s="60"/>
      <c r="K113" s="60"/>
    </row>
    <row r="114" spans="1:14" ht="17.850000000000001" customHeight="1">
      <c r="A114" s="869" t="s">
        <v>1150</v>
      </c>
      <c r="B114" s="869"/>
      <c r="C114" s="869"/>
      <c r="D114" s="869"/>
      <c r="E114" s="869"/>
      <c r="F114" s="869"/>
      <c r="G114" s="869"/>
      <c r="H114" s="869"/>
      <c r="I114" s="869"/>
      <c r="J114" s="869"/>
      <c r="K114" s="869"/>
      <c r="L114" s="70"/>
      <c r="M114" s="69"/>
      <c r="N114" s="70"/>
    </row>
    <row r="115" spans="1:14" ht="15" customHeight="1">
      <c r="A115" s="870" t="str">
        <f>paket</f>
        <v>Belanja Pemeliharaan Bangunan Gedung-Bangunan Gedung Tempat Kerja-Bangunan Gedung Kantor-Pemeliharaan Gedung Bertingkat</v>
      </c>
      <c r="B115" s="870"/>
      <c r="C115" s="870"/>
      <c r="D115" s="870"/>
      <c r="E115" s="870"/>
      <c r="F115" s="870"/>
      <c r="G115" s="870"/>
      <c r="H115" s="870"/>
      <c r="I115" s="870"/>
      <c r="J115" s="870"/>
      <c r="K115" s="870"/>
      <c r="L115" s="58"/>
      <c r="M115" s="69"/>
      <c r="N115" s="58"/>
    </row>
    <row r="116" spans="1:14" ht="15" customHeight="1">
      <c r="A116" s="870" t="str">
        <f>"Nomor: "&amp;Input!$D$102</f>
        <v>Nomor: 027/BAHP/A/IX/68/2023</v>
      </c>
      <c r="B116" s="870"/>
      <c r="C116" s="870"/>
      <c r="D116" s="870"/>
      <c r="E116" s="870"/>
      <c r="F116" s="870"/>
      <c r="G116" s="870"/>
      <c r="H116" s="870"/>
      <c r="I116" s="870"/>
      <c r="J116" s="870"/>
      <c r="K116" s="870"/>
      <c r="L116" s="71" t="s">
        <v>253</v>
      </c>
      <c r="M116" s="69"/>
      <c r="N116" s="58"/>
    </row>
    <row r="117" spans="1:14" customFormat="1" ht="5.25" customHeight="1">
      <c r="A117" s="59"/>
      <c r="B117" s="59"/>
      <c r="C117" s="59"/>
      <c r="D117" s="59"/>
      <c r="E117" s="59"/>
      <c r="F117" s="59"/>
      <c r="G117" s="59"/>
      <c r="H117" s="59"/>
      <c r="I117" s="59"/>
      <c r="J117" s="59"/>
      <c r="K117" s="59"/>
      <c r="L117" s="59"/>
      <c r="M117" s="69"/>
      <c r="N117" s="59"/>
    </row>
    <row r="118" spans="1:14" ht="15" customHeight="1">
      <c r="A118" s="884" t="str">
        <f>"Pada hari ini, "&amp;Input!$E$102&amp;", tanggal "&amp;TEXT(Input!$F$102,"[$-421]d mmmm yyyy")&amp;", kami yang bertandatangan di bawah ini:"</f>
        <v>Pada hari ini, Sabtu, tanggal 2 September 2023, kami yang bertandatangan di bawah ini:</v>
      </c>
      <c r="B118" s="884"/>
      <c r="C118" s="884"/>
      <c r="D118" s="884"/>
      <c r="E118" s="884"/>
      <c r="F118" s="884"/>
      <c r="G118" s="884"/>
      <c r="H118" s="884"/>
      <c r="I118" s="884"/>
      <c r="J118" s="884"/>
      <c r="K118" s="884"/>
    </row>
    <row r="119" spans="1:14" ht="5.25" customHeight="1">
      <c r="A119" s="60"/>
      <c r="B119" s="60"/>
      <c r="C119" s="27"/>
      <c r="D119" s="27"/>
      <c r="E119" s="27"/>
      <c r="F119" s="27"/>
      <c r="G119" s="27"/>
      <c r="H119" s="27"/>
      <c r="I119" s="27"/>
      <c r="J119" s="27"/>
      <c r="K119" s="72"/>
    </row>
    <row r="120" spans="1:14" ht="15" customHeight="1">
      <c r="A120" s="60" t="s">
        <v>37</v>
      </c>
      <c r="B120" s="60"/>
      <c r="C120" s="61" t="s">
        <v>2</v>
      </c>
      <c r="D120" s="60" t="str">
        <f>ppk_nama</f>
        <v>Ika Kurnia Mustika, ST, MT</v>
      </c>
      <c r="E120" s="60"/>
      <c r="F120" s="60"/>
      <c r="G120" s="60"/>
      <c r="H120" s="60"/>
      <c r="I120" s="60"/>
      <c r="J120" s="60"/>
      <c r="K120" s="72"/>
    </row>
    <row r="121" spans="1:14" ht="15" customHeight="1">
      <c r="A121" s="60" t="s">
        <v>41</v>
      </c>
      <c r="B121" s="60"/>
      <c r="C121" s="61" t="s">
        <v>2</v>
      </c>
      <c r="D121" s="60" t="str">
        <f>ppk_nip</f>
        <v>19791117 200901 1 006</v>
      </c>
      <c r="E121" s="60"/>
      <c r="F121" s="60"/>
      <c r="G121" s="60"/>
      <c r="H121" s="60"/>
      <c r="I121" s="60"/>
      <c r="J121" s="60"/>
      <c r="K121" s="72"/>
    </row>
    <row r="122" spans="1:14" ht="15" customHeight="1">
      <c r="A122" s="60" t="s">
        <v>50</v>
      </c>
      <c r="B122" s="60"/>
      <c r="C122" s="61" t="s">
        <v>2</v>
      </c>
      <c r="D122" s="60" t="str">
        <f>ppk_jab</f>
        <v>Pejabat Pembuat Komitmen</v>
      </c>
      <c r="E122" s="60"/>
      <c r="F122" s="60"/>
      <c r="G122" s="60"/>
      <c r="H122" s="60"/>
      <c r="I122" s="60"/>
      <c r="J122" s="60"/>
      <c r="K122" s="72"/>
    </row>
    <row r="123" spans="1:14" ht="15" customHeight="1">
      <c r="A123" s="60" t="s">
        <v>190</v>
      </c>
      <c r="B123" s="60"/>
      <c r="C123" s="61" t="s">
        <v>2</v>
      </c>
      <c r="D123" s="884" t="str">
        <f>opd_almt</f>
        <v>Jalan Pejanggik Nomor 14 Telp.( 0370 ) 627689, 625345 Fax: 627677</v>
      </c>
      <c r="E123" s="884"/>
      <c r="F123" s="884"/>
      <c r="G123" s="884"/>
      <c r="H123" s="884"/>
      <c r="I123" s="884"/>
      <c r="J123" s="884"/>
      <c r="K123" s="884"/>
    </row>
    <row r="124" spans="1:14" ht="5.25" customHeight="1">
      <c r="A124" s="60"/>
      <c r="B124" s="60"/>
      <c r="C124" s="60"/>
      <c r="D124" s="60"/>
      <c r="E124" s="60"/>
      <c r="F124" s="60"/>
      <c r="G124" s="60"/>
      <c r="H124" s="60"/>
      <c r="I124" s="60"/>
      <c r="J124" s="60"/>
      <c r="K124" s="72"/>
    </row>
    <row r="125" spans="1:14" ht="15" customHeight="1">
      <c r="A125" s="60" t="str">
        <f>"yang bertindak untuk dan atas nama "&amp;opd_nama&amp;";"</f>
        <v>yang bertindak untuk dan atas nama Badan Pengelolaan Keuangan dan Aset Daerah;</v>
      </c>
      <c r="B125" s="60"/>
      <c r="C125" s="60"/>
      <c r="D125" s="60"/>
      <c r="E125" s="60"/>
      <c r="F125" s="60"/>
      <c r="G125" s="60"/>
      <c r="H125" s="60"/>
      <c r="I125" s="60"/>
      <c r="J125" s="60"/>
      <c r="K125" s="72"/>
    </row>
    <row r="126" spans="1:14" ht="15" customHeight="1">
      <c r="A126" s="884" t="s">
        <v>1151</v>
      </c>
      <c r="B126" s="884"/>
      <c r="C126" s="884"/>
      <c r="D126" s="884"/>
      <c r="E126" s="884"/>
      <c r="F126" s="884"/>
      <c r="G126" s="884"/>
      <c r="H126" s="884"/>
      <c r="I126" s="884"/>
      <c r="J126" s="884"/>
      <c r="K126" s="884"/>
    </row>
    <row r="127" spans="1:14" ht="5.25" customHeight="1">
      <c r="A127" s="60"/>
      <c r="B127" s="60"/>
      <c r="C127" s="27"/>
      <c r="D127" s="27"/>
      <c r="E127" s="27"/>
      <c r="F127" s="27"/>
      <c r="G127" s="27"/>
      <c r="H127" s="27"/>
      <c r="I127" s="27"/>
      <c r="J127" s="27"/>
      <c r="K127" s="72"/>
    </row>
    <row r="128" spans="1:14" ht="15" customHeight="1">
      <c r="A128" s="60" t="s">
        <v>37</v>
      </c>
      <c r="B128" s="60"/>
      <c r="C128" s="61" t="s">
        <v>2</v>
      </c>
      <c r="D128" s="60" t="str">
        <f>bu_pimn</f>
        <v>Saripudin</v>
      </c>
      <c r="E128" s="27"/>
      <c r="F128" s="27"/>
      <c r="G128" s="27"/>
      <c r="H128" s="27"/>
      <c r="I128" s="27"/>
      <c r="J128" s="27"/>
      <c r="K128" s="72"/>
    </row>
    <row r="129" spans="1:12" ht="15" customHeight="1">
      <c r="A129" s="60" t="s">
        <v>50</v>
      </c>
      <c r="B129" s="60"/>
      <c r="C129" s="61" t="s">
        <v>2</v>
      </c>
      <c r="D129" s="60" t="str">
        <f>bu_pim</f>
        <v>Direktur</v>
      </c>
      <c r="E129" s="60"/>
      <c r="F129" s="60"/>
      <c r="G129" s="60"/>
      <c r="H129" s="60"/>
      <c r="I129" s="60"/>
      <c r="J129" s="60"/>
      <c r="K129" s="72"/>
    </row>
    <row r="130" spans="1:12" ht="15" customHeight="1">
      <c r="A130" s="60" t="s">
        <v>190</v>
      </c>
      <c r="B130" s="60"/>
      <c r="C130" s="61" t="s">
        <v>2</v>
      </c>
      <c r="D130" s="884" t="str">
        <f>bu_almt</f>
        <v>JL Meninting 13 No.. 22C BTN Kekalik, Kel. Pagesangan Barat, Kota Mataram, Provinsi Nusa Tenggara Barat</v>
      </c>
      <c r="E130" s="884"/>
      <c r="F130" s="884"/>
      <c r="G130" s="884"/>
      <c r="H130" s="884"/>
      <c r="I130" s="884"/>
      <c r="J130" s="884"/>
      <c r="K130" s="884"/>
    </row>
    <row r="131" spans="1:12" ht="5.25" customHeight="1">
      <c r="A131" s="60"/>
      <c r="B131" s="60"/>
      <c r="C131" s="60"/>
      <c r="D131" s="60"/>
      <c r="E131" s="60"/>
      <c r="F131" s="60"/>
      <c r="G131" s="60"/>
      <c r="H131" s="60"/>
      <c r="I131" s="60"/>
      <c r="J131" s="60"/>
      <c r="K131" s="72"/>
    </row>
    <row r="132" spans="1:12" ht="15" customHeight="1">
      <c r="A132" s="60" t="str">
        <f>"yang bertindak untuk dan atas nama "&amp;bu_nama&amp;";"</f>
        <v>yang bertindak untuk dan atas nama PT. DARUSSALAM MEDIA GROUP;</v>
      </c>
      <c r="B132" s="60"/>
      <c r="C132" s="60"/>
      <c r="D132" s="60"/>
      <c r="E132" s="60"/>
      <c r="F132" s="60"/>
      <c r="G132" s="60"/>
      <c r="H132" s="60"/>
      <c r="I132" s="60"/>
      <c r="J132" s="60"/>
      <c r="K132" s="72"/>
    </row>
    <row r="133" spans="1:12" ht="15" customHeight="1">
      <c r="A133" s="60" t="s">
        <v>1152</v>
      </c>
      <c r="B133" s="60"/>
      <c r="C133" s="27"/>
      <c r="D133" s="27"/>
      <c r="E133" s="27"/>
      <c r="F133" s="27"/>
      <c r="G133" s="27"/>
      <c r="H133" s="27"/>
      <c r="I133" s="27"/>
      <c r="J133" s="27"/>
      <c r="K133" s="72"/>
    </row>
    <row r="134" spans="1:12" ht="5.25" customHeight="1">
      <c r="A134" s="60"/>
      <c r="B134" s="60"/>
      <c r="C134" s="60"/>
      <c r="D134" s="60"/>
      <c r="E134" s="60"/>
      <c r="F134" s="60"/>
      <c r="G134" s="60"/>
      <c r="H134" s="60"/>
      <c r="I134" s="60"/>
      <c r="J134" s="60"/>
      <c r="K134" s="60"/>
    </row>
    <row r="135" spans="1:12" ht="15" customHeight="1">
      <c r="A135" s="884" t="str">
        <f>"Penyedia telah menyelesaikan pekerjaan dari PPK yaitu paket pekerjaan "&amp;paket&amp;" sesuai Surat Perintah Kerja (SPK) nomor "&amp;Input!$D$91&amp;" tanggal "&amp;TEXT(Input!$F$91,"[$-421]d mmmm yyyy")&amp;" sebagai berikut:"</f>
        <v>Penyedia telah menyelesaikan pekerjaan dari PPK yaitu paket pekerjaan Belanja Pemeliharaan Bangunan Gedung-Bangunan Gedung Tempat Kerja-Bangunan Gedung Kantor-Pemeliharaan Gedung Bertingkat sesuai Surat Perintah Kerja (SPK) nomor 027.1/1/SPK/BPKAD/2025 tanggal 3 Agustus 2023 sebagai berikut:</v>
      </c>
      <c r="B135" s="884"/>
      <c r="C135" s="884"/>
      <c r="D135" s="884"/>
      <c r="E135" s="884"/>
      <c r="F135" s="884"/>
      <c r="G135" s="884"/>
      <c r="H135" s="884"/>
      <c r="I135" s="884"/>
      <c r="J135" s="884"/>
      <c r="K135" s="884"/>
    </row>
    <row r="136" spans="1:12" ht="15" customHeight="1">
      <c r="A136" s="884"/>
      <c r="B136" s="884"/>
      <c r="C136" s="884"/>
      <c r="D136" s="884"/>
      <c r="E136" s="884"/>
      <c r="F136" s="884"/>
      <c r="G136" s="884"/>
      <c r="H136" s="884"/>
      <c r="I136" s="884"/>
      <c r="J136" s="884"/>
      <c r="K136" s="884"/>
    </row>
    <row r="137" spans="1:12" ht="15" customHeight="1">
      <c r="A137" s="884"/>
      <c r="B137" s="884"/>
      <c r="C137" s="884"/>
      <c r="D137" s="884"/>
      <c r="E137" s="884"/>
      <c r="F137" s="884"/>
      <c r="G137" s="884"/>
      <c r="H137" s="884"/>
      <c r="I137" s="884"/>
      <c r="J137" s="884"/>
      <c r="K137" s="884"/>
    </row>
    <row r="138" spans="1:12" ht="5.25" customHeight="1">
      <c r="A138" s="60"/>
      <c r="B138" s="60"/>
      <c r="C138" s="27"/>
      <c r="D138" s="27"/>
      <c r="E138" s="27"/>
      <c r="F138" s="27"/>
      <c r="G138" s="27"/>
      <c r="H138" s="27"/>
      <c r="I138" s="27"/>
      <c r="J138" s="27"/>
      <c r="K138" s="72"/>
    </row>
    <row r="139" spans="1:12" s="56" customFormat="1" ht="13.35" customHeight="1">
      <c r="B139" s="161" t="s">
        <v>258</v>
      </c>
      <c r="C139" s="1252" t="s">
        <v>298</v>
      </c>
      <c r="D139" s="1253"/>
      <c r="E139" s="1253"/>
      <c r="F139" s="1253"/>
      <c r="G139" s="1254"/>
      <c r="H139" s="161" t="s">
        <v>380</v>
      </c>
      <c r="I139" s="161" t="s">
        <v>381</v>
      </c>
      <c r="J139" s="1263" t="s">
        <v>1153</v>
      </c>
      <c r="K139" s="1264"/>
      <c r="L139" s="37"/>
    </row>
    <row r="140" spans="1:12" s="56" customFormat="1" ht="27" customHeight="1">
      <c r="B140" s="162">
        <v>1</v>
      </c>
      <c r="C140" s="1266" t="str">
        <f t="shared" ref="C140:C156" si="2">C65</f>
        <v>PEKERJAAN PERSIAPAN</v>
      </c>
      <c r="D140" s="1267"/>
      <c r="E140" s="1267"/>
      <c r="F140" s="1267"/>
      <c r="G140" s="1268"/>
      <c r="H140" s="163">
        <f>H65</f>
        <v>0</v>
      </c>
      <c r="I140" s="165">
        <f>I65</f>
        <v>0</v>
      </c>
      <c r="J140" s="1266" t="s">
        <v>1154</v>
      </c>
      <c r="K140" s="1268"/>
      <c r="L140" s="37"/>
    </row>
    <row r="141" spans="1:12" s="56" customFormat="1" ht="13.35" customHeight="1">
      <c r="B141" s="162" t="str">
        <f>IF(AND(B140&lt;&gt;0,D141&lt;&gt;0),B140+1,"")</f>
        <v/>
      </c>
      <c r="C141" s="1269" t="str">
        <f t="shared" si="2"/>
        <v>Pengukuran</v>
      </c>
      <c r="D141" s="1270"/>
      <c r="E141" s="1270"/>
      <c r="F141" s="1270"/>
      <c r="G141" s="1271"/>
      <c r="H141" s="163" t="str">
        <f t="shared" ref="H141:I141" si="3">H66</f>
        <v>keg</v>
      </c>
      <c r="I141" s="165">
        <f t="shared" si="3"/>
        <v>1</v>
      </c>
      <c r="J141" s="1269"/>
      <c r="K141" s="1271"/>
      <c r="L141" s="37"/>
    </row>
    <row r="142" spans="1:12" s="56" customFormat="1" ht="13.35" customHeight="1">
      <c r="B142" s="162" t="str">
        <f t="shared" ref="B142:B159" si="4">IF(AND(B141&lt;&gt;0,D142&lt;&gt;0),B141+1,"")</f>
        <v/>
      </c>
      <c r="C142" s="1269" t="str">
        <f t="shared" si="2"/>
        <v>Pembersihan Lokasi</v>
      </c>
      <c r="D142" s="1270"/>
      <c r="E142" s="1270"/>
      <c r="F142" s="1270"/>
      <c r="G142" s="1271"/>
      <c r="H142" s="163" t="str">
        <f t="shared" ref="H142:I142" si="5">H67</f>
        <v>keg</v>
      </c>
      <c r="I142" s="165">
        <f t="shared" si="5"/>
        <v>1</v>
      </c>
      <c r="J142" s="1269"/>
      <c r="K142" s="1271"/>
      <c r="L142" s="37"/>
    </row>
    <row r="143" spans="1:12" s="56" customFormat="1" ht="13.35" customHeight="1">
      <c r="B143" s="162" t="str">
        <f t="shared" si="4"/>
        <v/>
      </c>
      <c r="C143" s="1269">
        <f t="shared" si="2"/>
        <v>0</v>
      </c>
      <c r="D143" s="1270"/>
      <c r="E143" s="1270"/>
      <c r="F143" s="1270"/>
      <c r="G143" s="1271"/>
      <c r="H143" s="163">
        <f t="shared" ref="H143:I143" si="6">H68</f>
        <v>0</v>
      </c>
      <c r="I143" s="165">
        <f t="shared" si="6"/>
        <v>0</v>
      </c>
      <c r="J143" s="1269"/>
      <c r="K143" s="1271"/>
      <c r="L143" s="37"/>
    </row>
    <row r="144" spans="1:12" s="56" customFormat="1" ht="13.5" customHeight="1">
      <c r="B144" s="162" t="str">
        <f t="shared" si="4"/>
        <v/>
      </c>
      <c r="C144" s="1269" t="str">
        <f t="shared" si="2"/>
        <v>SMK3 KONSTRUKSI</v>
      </c>
      <c r="D144" s="1270"/>
      <c r="E144" s="1270"/>
      <c r="F144" s="1270"/>
      <c r="G144" s="1271"/>
      <c r="H144" s="163">
        <f t="shared" ref="H144:I144" si="7">H69</f>
        <v>0</v>
      </c>
      <c r="I144" s="165">
        <f t="shared" si="7"/>
        <v>0</v>
      </c>
      <c r="J144" s="1269"/>
      <c r="K144" s="1271"/>
      <c r="L144" s="37"/>
    </row>
    <row r="145" spans="2:13" s="56" customFormat="1" ht="13.5" customHeight="1">
      <c r="B145" s="162" t="str">
        <f t="shared" si="4"/>
        <v/>
      </c>
      <c r="C145" s="1269" t="str">
        <f t="shared" si="2"/>
        <v>Alat Pelindung Kerja dan Alat Pelindung Diri</v>
      </c>
      <c r="D145" s="1270"/>
      <c r="E145" s="1270"/>
      <c r="F145" s="1270"/>
      <c r="G145" s="1271"/>
      <c r="H145" s="163" t="str">
        <f t="shared" ref="H145:I145" si="8">H70</f>
        <v>set</v>
      </c>
      <c r="I145" s="165">
        <f t="shared" si="8"/>
        <v>5</v>
      </c>
      <c r="J145" s="1269"/>
      <c r="K145" s="1271"/>
      <c r="L145" s="37"/>
    </row>
    <row r="146" spans="2:13" s="56" customFormat="1" ht="13.5" customHeight="1">
      <c r="B146" s="162" t="str">
        <f t="shared" si="4"/>
        <v/>
      </c>
      <c r="C146" s="1269">
        <f t="shared" si="2"/>
        <v>0</v>
      </c>
      <c r="D146" s="1270"/>
      <c r="E146" s="1270"/>
      <c r="F146" s="1270"/>
      <c r="G146" s="1271"/>
      <c r="H146" s="163">
        <f t="shared" ref="H146:I146" si="9">H71</f>
        <v>0</v>
      </c>
      <c r="I146" s="165">
        <f t="shared" si="9"/>
        <v>0</v>
      </c>
      <c r="J146" s="1269"/>
      <c r="K146" s="1271"/>
      <c r="L146" s="37"/>
    </row>
    <row r="147" spans="2:13" s="56" customFormat="1" ht="13.5" customHeight="1">
      <c r="B147" s="162" t="str">
        <f t="shared" si="4"/>
        <v/>
      </c>
      <c r="C147" s="1269" t="str">
        <f t="shared" si="2"/>
        <v>PEKERJAAN PENGECATAN</v>
      </c>
      <c r="D147" s="1270"/>
      <c r="E147" s="1270"/>
      <c r="F147" s="1270"/>
      <c r="G147" s="1271"/>
      <c r="H147" s="163">
        <f t="shared" ref="H147:I147" si="10">H72</f>
        <v>0</v>
      </c>
      <c r="I147" s="165">
        <f t="shared" si="10"/>
        <v>0</v>
      </c>
      <c r="J147" s="1269"/>
      <c r="K147" s="1271"/>
      <c r="L147" s="37"/>
    </row>
    <row r="148" spans="2:13" s="56" customFormat="1" ht="13.5" customHeight="1">
      <c r="B148" s="162" t="str">
        <f t="shared" si="4"/>
        <v/>
      </c>
      <c r="C148" s="1269" t="str">
        <f t="shared" si="2"/>
        <v>Sewa stager</v>
      </c>
      <c r="D148" s="1270"/>
      <c r="E148" s="1270"/>
      <c r="F148" s="1270"/>
      <c r="G148" s="1271"/>
      <c r="H148" s="163" t="str">
        <f t="shared" ref="H148:I148" si="11">H73</f>
        <v>keg</v>
      </c>
      <c r="I148" s="165">
        <f t="shared" si="11"/>
        <v>1</v>
      </c>
      <c r="J148" s="1269"/>
      <c r="K148" s="1271"/>
      <c r="L148" s="37"/>
    </row>
    <row r="149" spans="2:13" s="56" customFormat="1" ht="13.5" customHeight="1">
      <c r="B149" s="162" t="str">
        <f t="shared" si="4"/>
        <v/>
      </c>
      <c r="C149" s="1269" t="str">
        <f t="shared" si="2"/>
        <v xml:space="preserve">Pengerokan cat yang terkelupas </v>
      </c>
      <c r="D149" s="1270"/>
      <c r="E149" s="1270"/>
      <c r="F149" s="1270"/>
      <c r="G149" s="1271"/>
      <c r="H149" s="163" t="str">
        <f t="shared" ref="H149:I149" si="12">H74</f>
        <v>m2</v>
      </c>
      <c r="I149" s="165">
        <f t="shared" si="12"/>
        <v>168.58</v>
      </c>
      <c r="J149" s="1269"/>
      <c r="K149" s="1271"/>
      <c r="L149" s="37"/>
    </row>
    <row r="150" spans="2:13" s="56" customFormat="1" ht="13.5" customHeight="1">
      <c r="B150" s="162" t="str">
        <f t="shared" si="4"/>
        <v/>
      </c>
      <c r="C150" s="1269" t="str">
        <f t="shared" si="2"/>
        <v>Pengecatan ulang dinding luar</v>
      </c>
      <c r="D150" s="1270"/>
      <c r="E150" s="1270"/>
      <c r="F150" s="1270"/>
      <c r="G150" s="1271"/>
      <c r="H150" s="163" t="str">
        <f t="shared" ref="H150:I150" si="13">H75</f>
        <v>m2</v>
      </c>
      <c r="I150" s="165">
        <f t="shared" si="13"/>
        <v>842.91</v>
      </c>
      <c r="J150" s="1269"/>
      <c r="K150" s="1271"/>
      <c r="L150" s="37"/>
    </row>
    <row r="151" spans="2:13" s="56" customFormat="1" ht="13.5" customHeight="1">
      <c r="B151" s="162" t="str">
        <f t="shared" si="4"/>
        <v/>
      </c>
      <c r="C151" s="1269" t="str">
        <f t="shared" si="2"/>
        <v>Pengecatan ACP dengan cat besi</v>
      </c>
      <c r="D151" s="1270"/>
      <c r="E151" s="1270"/>
      <c r="F151" s="1270"/>
      <c r="G151" s="1271"/>
      <c r="H151" s="163" t="str">
        <f t="shared" ref="H151:I151" si="14">H76</f>
        <v>m2</v>
      </c>
      <c r="I151" s="165">
        <f t="shared" si="14"/>
        <v>419</v>
      </c>
      <c r="J151" s="1269"/>
      <c r="K151" s="1271"/>
      <c r="L151" s="37"/>
    </row>
    <row r="152" spans="2:13" s="56" customFormat="1" ht="13.5" customHeight="1">
      <c r="B152" s="162" t="str">
        <f t="shared" si="4"/>
        <v/>
      </c>
      <c r="C152" s="1269">
        <f t="shared" si="2"/>
        <v>0</v>
      </c>
      <c r="D152" s="1270"/>
      <c r="E152" s="1270"/>
      <c r="F152" s="1270"/>
      <c r="G152" s="1271"/>
      <c r="H152" s="163">
        <f t="shared" ref="H152:I152" si="15">H77</f>
        <v>0</v>
      </c>
      <c r="I152" s="165">
        <f t="shared" si="15"/>
        <v>0</v>
      </c>
      <c r="J152" s="1269"/>
      <c r="K152" s="1271"/>
      <c r="L152" s="37"/>
    </row>
    <row r="153" spans="2:13" s="56" customFormat="1" ht="13.5" customHeight="1">
      <c r="B153" s="162" t="str">
        <f t="shared" si="4"/>
        <v/>
      </c>
      <c r="C153" s="1269">
        <f t="shared" si="2"/>
        <v>0</v>
      </c>
      <c r="D153" s="1270"/>
      <c r="E153" s="1270"/>
      <c r="F153" s="1270"/>
      <c r="G153" s="1271"/>
      <c r="H153" s="163">
        <f t="shared" ref="H153:I153" si="16">H78</f>
        <v>0</v>
      </c>
      <c r="I153" s="165">
        <f t="shared" si="16"/>
        <v>0</v>
      </c>
      <c r="J153" s="1269"/>
      <c r="K153" s="1271"/>
      <c r="L153" s="37"/>
    </row>
    <row r="154" spans="2:13" s="56" customFormat="1" ht="13.5" customHeight="1">
      <c r="B154" s="162" t="str">
        <f t="shared" si="4"/>
        <v/>
      </c>
      <c r="C154" s="1269">
        <f t="shared" si="2"/>
        <v>0</v>
      </c>
      <c r="D154" s="1270"/>
      <c r="E154" s="1270"/>
      <c r="F154" s="1270"/>
      <c r="G154" s="1271"/>
      <c r="H154" s="163">
        <f t="shared" ref="H154:I154" si="17">H79</f>
        <v>0</v>
      </c>
      <c r="I154" s="165">
        <f t="shared" si="17"/>
        <v>0</v>
      </c>
      <c r="J154" s="1269"/>
      <c r="K154" s="1271"/>
      <c r="L154" s="37"/>
    </row>
    <row r="155" spans="2:13" s="56" customFormat="1" ht="13.5" customHeight="1">
      <c r="B155" s="162" t="str">
        <f t="shared" si="4"/>
        <v/>
      </c>
      <c r="C155" s="1269">
        <f t="shared" si="2"/>
        <v>0</v>
      </c>
      <c r="D155" s="1270"/>
      <c r="E155" s="1270"/>
      <c r="F155" s="1270"/>
      <c r="G155" s="1271"/>
      <c r="H155" s="163">
        <f t="shared" ref="H155:I155" si="18">H80</f>
        <v>0</v>
      </c>
      <c r="I155" s="165">
        <f t="shared" si="18"/>
        <v>0</v>
      </c>
      <c r="J155" s="1269"/>
      <c r="K155" s="1271"/>
      <c r="L155" s="37"/>
    </row>
    <row r="156" spans="2:13" s="56" customFormat="1" ht="13.5" customHeight="1">
      <c r="B156" s="162" t="str">
        <f t="shared" si="4"/>
        <v/>
      </c>
      <c r="C156" s="1269">
        <f t="shared" si="2"/>
        <v>0</v>
      </c>
      <c r="D156" s="1270"/>
      <c r="E156" s="1270"/>
      <c r="F156" s="1270"/>
      <c r="G156" s="1271"/>
      <c r="H156" s="163">
        <f t="shared" ref="H156:I156" si="19">H81</f>
        <v>0</v>
      </c>
      <c r="I156" s="165">
        <f t="shared" si="19"/>
        <v>0</v>
      </c>
      <c r="J156" s="1269"/>
      <c r="K156" s="1271"/>
      <c r="L156" s="37"/>
    </row>
    <row r="157" spans="2:13" s="56" customFormat="1" ht="13.5" customHeight="1">
      <c r="B157" s="162" t="str">
        <f t="shared" si="4"/>
        <v/>
      </c>
      <c r="C157" s="1269">
        <f t="shared" ref="C157:C158" si="20">C88</f>
        <v>0</v>
      </c>
      <c r="D157" s="1270"/>
      <c r="E157" s="1270"/>
      <c r="F157" s="1270"/>
      <c r="G157" s="1271"/>
      <c r="H157" s="163">
        <f t="shared" ref="H157:I157" si="21">H88</f>
        <v>0</v>
      </c>
      <c r="I157" s="165">
        <f t="shared" si="21"/>
        <v>0</v>
      </c>
      <c r="J157" s="1269"/>
      <c r="K157" s="1271"/>
      <c r="L157" s="37"/>
    </row>
    <row r="158" spans="2:13" s="56" customFormat="1" ht="13.5" customHeight="1">
      <c r="B158" s="162" t="str">
        <f t="shared" si="4"/>
        <v/>
      </c>
      <c r="C158" s="1269">
        <f t="shared" si="20"/>
        <v>0</v>
      </c>
      <c r="D158" s="1270"/>
      <c r="E158" s="1270"/>
      <c r="F158" s="1270"/>
      <c r="G158" s="1271"/>
      <c r="H158" s="163">
        <f t="shared" ref="H158:I158" si="22">H89</f>
        <v>0</v>
      </c>
      <c r="I158" s="165">
        <f t="shared" si="22"/>
        <v>0</v>
      </c>
      <c r="J158" s="1269"/>
      <c r="K158" s="1271"/>
      <c r="L158" s="37"/>
    </row>
    <row r="159" spans="2:13" s="56" customFormat="1" ht="13.5" customHeight="1">
      <c r="B159" s="168" t="str">
        <f t="shared" si="4"/>
        <v/>
      </c>
      <c r="C159" s="1272">
        <f>PPK.Spek!B59</f>
        <v>0</v>
      </c>
      <c r="D159" s="1273"/>
      <c r="E159" s="1273"/>
      <c r="F159" s="1273"/>
      <c r="G159" s="1274"/>
      <c r="H159" s="169">
        <f>PPK.Spek!F59</f>
        <v>0</v>
      </c>
      <c r="I159" s="171">
        <f>PPK.Spek!G59</f>
        <v>0</v>
      </c>
      <c r="J159" s="1272"/>
      <c r="K159" s="1274"/>
      <c r="L159" s="37"/>
    </row>
    <row r="160" spans="2:13" s="56" customFormat="1" ht="13.5" customHeight="1">
      <c r="B160" s="37"/>
      <c r="C160" s="37"/>
      <c r="D160" s="64"/>
      <c r="E160" s="64"/>
      <c r="F160" s="170"/>
      <c r="G160" s="170"/>
      <c r="H160" s="170"/>
      <c r="I160" s="170"/>
      <c r="J160" s="170"/>
      <c r="K160" s="170"/>
      <c r="L160" s="170"/>
      <c r="M160" s="37"/>
    </row>
    <row r="161" spans="1:14" ht="13.5" customHeight="1">
      <c r="A161" s="60" t="s">
        <v>1155</v>
      </c>
      <c r="B161" s="60"/>
      <c r="C161" s="60"/>
      <c r="D161" s="60"/>
      <c r="E161" s="60"/>
      <c r="F161" s="60"/>
      <c r="G161" s="60"/>
      <c r="H161" s="60"/>
      <c r="I161" s="60"/>
      <c r="J161" s="60"/>
      <c r="K161" s="60"/>
    </row>
    <row r="162" spans="1:14" s="56" customFormat="1" ht="15" customHeight="1">
      <c r="B162" s="37"/>
      <c r="C162" s="37"/>
      <c r="D162" s="44"/>
      <c r="E162" s="64"/>
      <c r="F162" s="63"/>
      <c r="G162" s="63"/>
      <c r="H162" s="44"/>
      <c r="I162" s="44"/>
      <c r="J162" s="73"/>
      <c r="K162" s="74"/>
      <c r="L162" s="74"/>
      <c r="M162" s="37"/>
    </row>
    <row r="163" spans="1:14" s="56" customFormat="1" ht="15" customHeight="1">
      <c r="B163" s="37"/>
      <c r="C163" s="37"/>
      <c r="D163" s="44" t="s">
        <v>163</v>
      </c>
      <c r="E163" s="64"/>
      <c r="F163" s="63"/>
      <c r="G163" s="63"/>
      <c r="H163" s="44"/>
      <c r="I163" s="44" t="s">
        <v>1149</v>
      </c>
      <c r="J163" s="73"/>
      <c r="K163" s="74"/>
      <c r="L163" s="74"/>
      <c r="M163" s="37"/>
    </row>
    <row r="164" spans="1:14" s="56" customFormat="1" ht="15" customHeight="1">
      <c r="B164" s="37"/>
      <c r="C164" s="37"/>
      <c r="D164" s="64"/>
      <c r="E164" s="64"/>
      <c r="F164" s="63"/>
      <c r="G164" s="63"/>
      <c r="H164" s="44"/>
      <c r="I164" s="44"/>
      <c r="J164" s="73"/>
      <c r="K164" s="74"/>
      <c r="L164" s="74"/>
      <c r="M164" s="37"/>
    </row>
    <row r="165" spans="1:14" s="56" customFormat="1" ht="15" customHeight="1">
      <c r="B165" s="37"/>
      <c r="C165" s="37"/>
      <c r="D165" s="64"/>
      <c r="E165" s="64"/>
      <c r="F165" s="63"/>
      <c r="G165" s="63"/>
      <c r="H165" s="44"/>
      <c r="I165" s="44"/>
      <c r="J165" s="73"/>
      <c r="K165" s="74"/>
      <c r="L165" s="74"/>
      <c r="M165" s="37"/>
    </row>
    <row r="166" spans="1:14" s="56" customFormat="1" ht="15" customHeight="1">
      <c r="B166" s="37"/>
      <c r="C166" s="37"/>
      <c r="D166" s="64"/>
      <c r="E166" s="64"/>
      <c r="F166" s="63"/>
      <c r="G166" s="63"/>
      <c r="H166" s="44"/>
      <c r="I166" s="44"/>
      <c r="J166" s="73"/>
      <c r="K166" s="74"/>
      <c r="L166" s="74"/>
      <c r="M166" s="37"/>
    </row>
    <row r="167" spans="1:14" s="56" customFormat="1" ht="15" customHeight="1">
      <c r="B167" s="37"/>
      <c r="C167" s="37"/>
      <c r="D167" s="65" t="str">
        <f>bu_pimn</f>
        <v>Saripudin</v>
      </c>
      <c r="E167" s="64"/>
      <c r="F167" s="63"/>
      <c r="G167" s="63"/>
      <c r="H167" s="44"/>
      <c r="I167" s="65" t="str">
        <f>ppk_nama</f>
        <v>Ika Kurnia Mustika, ST, MT</v>
      </c>
      <c r="J167" s="73"/>
      <c r="K167" s="74"/>
      <c r="L167" s="74"/>
      <c r="M167" s="37"/>
    </row>
    <row r="168" spans="1:14" s="56" customFormat="1" ht="15" customHeight="1">
      <c r="B168" s="37"/>
      <c r="C168" s="37"/>
      <c r="D168" s="44" t="str">
        <f>bu_pim&amp;" "&amp;bu_nama</f>
        <v>Direktur PT. DARUSSALAM MEDIA GROUP</v>
      </c>
      <c r="E168" s="64"/>
      <c r="F168" s="63"/>
      <c r="G168" s="63"/>
      <c r="H168" s="44"/>
      <c r="I168" s="44" t="str">
        <f>"NIP. "&amp;ppk_nip</f>
        <v>NIP. 19791117 200901 1 006</v>
      </c>
      <c r="J168" s="73"/>
      <c r="K168" s="74"/>
      <c r="L168" s="74"/>
      <c r="M168" s="37"/>
    </row>
    <row r="169" spans="1:14" ht="5.25" customHeight="1">
      <c r="A169" s="60"/>
      <c r="B169" s="60"/>
      <c r="C169" s="60"/>
      <c r="D169" s="60"/>
      <c r="E169" s="60"/>
      <c r="F169" s="60"/>
      <c r="G169" s="60"/>
      <c r="H169" s="60"/>
      <c r="I169" s="60"/>
      <c r="J169" s="60"/>
      <c r="K169" s="60"/>
    </row>
    <row r="170" spans="1:14" ht="5.25" customHeight="1">
      <c r="A170" s="60"/>
      <c r="B170" s="60"/>
      <c r="C170" s="60"/>
      <c r="D170" s="60"/>
      <c r="E170" s="60"/>
      <c r="F170" s="60"/>
      <c r="G170" s="60"/>
      <c r="H170" s="60"/>
      <c r="I170" s="60"/>
      <c r="J170" s="60"/>
      <c r="K170" s="60"/>
    </row>
    <row r="171" spans="1:14" ht="17.850000000000001" customHeight="1">
      <c r="A171" s="869" t="s">
        <v>1156</v>
      </c>
      <c r="B171" s="869"/>
      <c r="C171" s="869"/>
      <c r="D171" s="869"/>
      <c r="E171" s="869"/>
      <c r="F171" s="869"/>
      <c r="G171" s="869"/>
      <c r="H171" s="869"/>
      <c r="I171" s="869"/>
      <c r="J171" s="869"/>
      <c r="K171" s="869"/>
      <c r="L171" s="70"/>
      <c r="M171" s="69"/>
      <c r="N171" s="70"/>
    </row>
    <row r="172" spans="1:14" ht="15" customHeight="1">
      <c r="A172" s="870" t="str">
        <f>paket</f>
        <v>Belanja Pemeliharaan Bangunan Gedung-Bangunan Gedung Tempat Kerja-Bangunan Gedung Kantor-Pemeliharaan Gedung Bertingkat</v>
      </c>
      <c r="B172" s="870"/>
      <c r="C172" s="870"/>
      <c r="D172" s="870"/>
      <c r="E172" s="870"/>
      <c r="F172" s="870"/>
      <c r="G172" s="870"/>
      <c r="H172" s="870"/>
      <c r="I172" s="870"/>
      <c r="J172" s="870"/>
      <c r="K172" s="870"/>
      <c r="L172" s="58"/>
      <c r="M172" s="69"/>
      <c r="N172" s="58"/>
    </row>
    <row r="173" spans="1:14" ht="15" customHeight="1">
      <c r="A173" s="870" t="str">
        <f>"Nomor: "&amp;Input!D103</f>
        <v>Nomor: 027.3/17/STHP/BPKAD/2024</v>
      </c>
      <c r="B173" s="870"/>
      <c r="C173" s="870"/>
      <c r="D173" s="870"/>
      <c r="E173" s="870"/>
      <c r="F173" s="870"/>
      <c r="G173" s="870"/>
      <c r="H173" s="870"/>
      <c r="I173" s="870"/>
      <c r="J173" s="870"/>
      <c r="K173" s="870"/>
      <c r="L173" s="71" t="s">
        <v>253</v>
      </c>
      <c r="M173" s="69"/>
      <c r="N173" s="58"/>
    </row>
    <row r="174" spans="1:14" customFormat="1" ht="5.25" customHeight="1">
      <c r="A174" s="59"/>
      <c r="B174" s="59"/>
      <c r="C174" s="59"/>
      <c r="D174" s="59"/>
      <c r="E174" s="59"/>
      <c r="F174" s="59"/>
      <c r="G174" s="59"/>
      <c r="H174" s="59"/>
      <c r="I174" s="59"/>
      <c r="J174" s="59"/>
      <c r="K174" s="59"/>
      <c r="L174" s="59"/>
      <c r="M174" s="69"/>
      <c r="N174" s="59"/>
    </row>
    <row r="175" spans="1:14" ht="15" customHeight="1">
      <c r="A175" s="884" t="str">
        <f>"Pada hari ini, "&amp;Input!$E$103&amp;", tanggal "&amp;Input!$H$103&amp;", bertempat di "&amp;Input!$D$18&amp;", berdasarkan Surat Perintah Kerja (SPK) nomor "&amp;Input!$D$91&amp;" tanggal "&amp;Input!$H$91&amp;", telah diadakan Serah Terima hasil pekerjaan "&amp;paket&amp;" antara:"</f>
        <v>Pada hari ini, Sabtu, tanggal 2 September 2023, bertempat di Kantor Badan Pengelolaan Keuangan dan Aset Daerah Jalan Pejanggik Nomor 14 Telp.( 0370 ) 627689, 625345 Fax: 627677, berdasarkan Surat Perintah Kerja (SPK) nomor 027.1/1/SPK/BPKAD/2025 tanggal 3 Agustus 2023, telah diadakan Serah Terima hasil pekerjaan Belanja Pemeliharaan Bangunan Gedung-Bangunan Gedung Tempat Kerja-Bangunan Gedung Kantor-Pemeliharaan Gedung Bertingkat antara:</v>
      </c>
      <c r="B175" s="884"/>
      <c r="C175" s="884"/>
      <c r="D175" s="884"/>
      <c r="E175" s="884"/>
      <c r="F175" s="884"/>
      <c r="G175" s="884"/>
      <c r="H175" s="884"/>
      <c r="I175" s="884"/>
      <c r="J175" s="884"/>
      <c r="K175" s="884"/>
    </row>
    <row r="176" spans="1:14" ht="15" customHeight="1">
      <c r="A176" s="884"/>
      <c r="B176" s="884"/>
      <c r="C176" s="884"/>
      <c r="D176" s="884"/>
      <c r="E176" s="884"/>
      <c r="F176" s="884"/>
      <c r="G176" s="884"/>
      <c r="H176" s="884"/>
      <c r="I176" s="884"/>
      <c r="J176" s="884"/>
      <c r="K176" s="884"/>
    </row>
    <row r="177" spans="1:11" ht="15" customHeight="1">
      <c r="A177" s="884"/>
      <c r="B177" s="884"/>
      <c r="C177" s="884"/>
      <c r="D177" s="884"/>
      <c r="E177" s="884"/>
      <c r="F177" s="884"/>
      <c r="G177" s="884"/>
      <c r="H177" s="884"/>
      <c r="I177" s="884"/>
      <c r="J177" s="884"/>
      <c r="K177" s="884"/>
    </row>
    <row r="178" spans="1:11" ht="15" customHeight="1">
      <c r="A178" s="884"/>
      <c r="B178" s="884"/>
      <c r="C178" s="884"/>
      <c r="D178" s="884"/>
      <c r="E178" s="884"/>
      <c r="F178" s="884"/>
      <c r="G178" s="884"/>
      <c r="H178" s="884"/>
      <c r="I178" s="884"/>
      <c r="J178" s="884"/>
      <c r="K178" s="884"/>
    </row>
    <row r="179" spans="1:11" ht="5.25" customHeight="1">
      <c r="A179" s="60"/>
      <c r="B179" s="60"/>
      <c r="C179" s="27"/>
      <c r="D179" s="27"/>
      <c r="E179" s="27"/>
      <c r="F179" s="27"/>
      <c r="G179" s="27"/>
      <c r="H179" s="27"/>
      <c r="I179" s="27"/>
      <c r="J179" s="27"/>
      <c r="K179" s="72"/>
    </row>
    <row r="180" spans="1:11" ht="15" customHeight="1">
      <c r="A180" s="60" t="s">
        <v>37</v>
      </c>
      <c r="B180" s="60"/>
      <c r="C180" s="61" t="s">
        <v>2</v>
      </c>
      <c r="D180" s="60" t="str">
        <f>ppk_nama</f>
        <v>Ika Kurnia Mustika, ST, MT</v>
      </c>
      <c r="E180" s="60"/>
      <c r="F180" s="60"/>
      <c r="G180" s="60"/>
      <c r="H180" s="60"/>
      <c r="I180" s="60"/>
      <c r="J180" s="60"/>
      <c r="K180" s="72"/>
    </row>
    <row r="181" spans="1:11" ht="15" customHeight="1">
      <c r="A181" s="60" t="s">
        <v>41</v>
      </c>
      <c r="B181" s="60"/>
      <c r="C181" s="61" t="s">
        <v>2</v>
      </c>
      <c r="D181" s="60" t="str">
        <f>ppk_nip</f>
        <v>19791117 200901 1 006</v>
      </c>
      <c r="E181" s="60"/>
      <c r="F181" s="60"/>
      <c r="G181" s="60"/>
      <c r="H181" s="60"/>
      <c r="I181" s="60"/>
      <c r="J181" s="60"/>
      <c r="K181" s="72"/>
    </row>
    <row r="182" spans="1:11" ht="15" customHeight="1">
      <c r="A182" s="60" t="s">
        <v>50</v>
      </c>
      <c r="B182" s="60"/>
      <c r="C182" s="61" t="s">
        <v>2</v>
      </c>
      <c r="D182" s="60" t="str">
        <f>ppk_jab</f>
        <v>Pejabat Pembuat Komitmen</v>
      </c>
      <c r="E182" s="60"/>
      <c r="F182" s="60"/>
      <c r="G182" s="60"/>
      <c r="H182" s="60"/>
      <c r="I182" s="60"/>
      <c r="J182" s="60"/>
      <c r="K182" s="72"/>
    </row>
    <row r="183" spans="1:11" ht="5.25" customHeight="1">
      <c r="A183" s="60"/>
      <c r="B183" s="60"/>
      <c r="C183" s="60"/>
      <c r="D183" s="60"/>
      <c r="E183" s="60"/>
      <c r="F183" s="60"/>
      <c r="G183" s="60"/>
      <c r="H183" s="60"/>
      <c r="I183" s="60"/>
      <c r="J183" s="60"/>
      <c r="K183" s="72"/>
    </row>
    <row r="184" spans="1:11" ht="15" customHeight="1">
      <c r="A184" s="60" t="str">
        <f>"yang bertindak untuk dan atas nama "&amp;opd_nama&amp;";"</f>
        <v>yang bertindak untuk dan atas nama Badan Pengelolaan Keuangan dan Aset Daerah;</v>
      </c>
      <c r="B184" s="60"/>
      <c r="C184" s="60"/>
      <c r="D184" s="60"/>
      <c r="E184" s="60"/>
      <c r="F184" s="60"/>
      <c r="G184" s="60"/>
      <c r="H184" s="60"/>
      <c r="I184" s="60"/>
      <c r="J184" s="60"/>
      <c r="K184" s="72"/>
    </row>
    <row r="185" spans="1:11" ht="15" customHeight="1">
      <c r="A185" s="884" t="s">
        <v>1151</v>
      </c>
      <c r="B185" s="884"/>
      <c r="C185" s="884"/>
      <c r="D185" s="884"/>
      <c r="E185" s="884"/>
      <c r="F185" s="884"/>
      <c r="G185" s="884"/>
      <c r="H185" s="884"/>
      <c r="I185" s="884"/>
      <c r="J185" s="884"/>
      <c r="K185" s="884"/>
    </row>
    <row r="186" spans="1:11" ht="5.25" customHeight="1">
      <c r="A186" s="60"/>
      <c r="B186" s="60"/>
      <c r="C186" s="27"/>
      <c r="D186" s="27"/>
      <c r="E186" s="27"/>
      <c r="F186" s="27"/>
      <c r="G186" s="27"/>
      <c r="H186" s="27"/>
      <c r="I186" s="27"/>
      <c r="J186" s="27"/>
      <c r="K186" s="72"/>
    </row>
    <row r="187" spans="1:11" ht="15" customHeight="1">
      <c r="A187" s="60" t="s">
        <v>37</v>
      </c>
      <c r="B187" s="60"/>
      <c r="C187" s="61" t="s">
        <v>2</v>
      </c>
      <c r="D187" s="60" t="str">
        <f>bu_pimn</f>
        <v>Saripudin</v>
      </c>
      <c r="E187" s="27"/>
      <c r="F187" s="27"/>
      <c r="G187" s="27"/>
      <c r="H187" s="27"/>
      <c r="I187" s="27"/>
      <c r="J187" s="27"/>
      <c r="K187" s="72"/>
    </row>
    <row r="188" spans="1:11" ht="15" customHeight="1">
      <c r="A188" s="60" t="s">
        <v>50</v>
      </c>
      <c r="B188" s="60"/>
      <c r="C188" s="61" t="s">
        <v>2</v>
      </c>
      <c r="D188" s="60" t="str">
        <f>bu_pim</f>
        <v>Direktur</v>
      </c>
      <c r="E188" s="60"/>
      <c r="F188" s="60"/>
      <c r="G188" s="60"/>
      <c r="H188" s="60"/>
      <c r="I188" s="60"/>
      <c r="J188" s="60"/>
      <c r="K188" s="72"/>
    </row>
    <row r="189" spans="1:11" ht="5.25" customHeight="1">
      <c r="A189" s="60"/>
      <c r="B189" s="60"/>
      <c r="C189" s="60"/>
      <c r="D189" s="60"/>
      <c r="E189" s="60"/>
      <c r="F189" s="60"/>
      <c r="G189" s="60"/>
      <c r="H189" s="60"/>
      <c r="I189" s="60"/>
      <c r="J189" s="60"/>
      <c r="K189" s="72"/>
    </row>
    <row r="190" spans="1:11" ht="15" customHeight="1">
      <c r="A190" s="60" t="str">
        <f>"yang bertindak untuk dan atas nama "&amp;bu_nama&amp;";"</f>
        <v>yang bertindak untuk dan atas nama PT. DARUSSALAM MEDIA GROUP;</v>
      </c>
      <c r="B190" s="60"/>
      <c r="C190" s="60"/>
      <c r="D190" s="60"/>
      <c r="E190" s="60"/>
      <c r="F190" s="60"/>
      <c r="G190" s="60"/>
      <c r="H190" s="60"/>
      <c r="I190" s="60"/>
      <c r="J190" s="60"/>
      <c r="K190" s="72"/>
    </row>
    <row r="191" spans="1:11" ht="15" customHeight="1">
      <c r="A191" s="60" t="s">
        <v>1152</v>
      </c>
      <c r="B191" s="60"/>
      <c r="C191" s="27"/>
      <c r="D191" s="27"/>
      <c r="E191" s="27"/>
      <c r="F191" s="27"/>
      <c r="G191" s="27"/>
      <c r="H191" s="27"/>
      <c r="I191" s="27"/>
      <c r="J191" s="27"/>
      <c r="K191" s="72"/>
    </row>
    <row r="192" spans="1:11" ht="5.25" customHeight="1">
      <c r="A192" s="60"/>
      <c r="B192" s="60"/>
      <c r="C192" s="60"/>
      <c r="D192" s="60"/>
      <c r="E192" s="60"/>
      <c r="F192" s="60"/>
      <c r="G192" s="60"/>
      <c r="H192" s="60"/>
      <c r="I192" s="60"/>
      <c r="J192" s="60"/>
      <c r="K192" s="60"/>
    </row>
    <row r="193" spans="1:12" ht="15" customHeight="1">
      <c r="A193" s="884" t="s">
        <v>1157</v>
      </c>
      <c r="B193" s="884"/>
      <c r="C193" s="884"/>
      <c r="D193" s="884"/>
      <c r="E193" s="884"/>
      <c r="F193" s="884"/>
      <c r="G193" s="884"/>
      <c r="H193" s="884"/>
      <c r="I193" s="884"/>
      <c r="J193" s="884"/>
      <c r="K193" s="884"/>
    </row>
    <row r="194" spans="1:12" ht="15" customHeight="1">
      <c r="A194" s="884"/>
      <c r="B194" s="884"/>
      <c r="C194" s="884"/>
      <c r="D194" s="884"/>
      <c r="E194" s="884"/>
      <c r="F194" s="884"/>
      <c r="G194" s="884"/>
      <c r="H194" s="884"/>
      <c r="I194" s="884"/>
      <c r="J194" s="884"/>
      <c r="K194" s="884"/>
    </row>
    <row r="195" spans="1:12" ht="15" customHeight="1">
      <c r="A195" s="884"/>
      <c r="B195" s="884"/>
      <c r="C195" s="884"/>
      <c r="D195" s="884"/>
      <c r="E195" s="884"/>
      <c r="F195" s="884"/>
      <c r="G195" s="884"/>
      <c r="H195" s="884"/>
      <c r="I195" s="884"/>
      <c r="J195" s="884"/>
      <c r="K195" s="884"/>
    </row>
    <row r="196" spans="1:12" ht="5.25" customHeight="1">
      <c r="A196" s="60"/>
      <c r="B196" s="60"/>
      <c r="C196" s="27"/>
      <c r="D196" s="27"/>
      <c r="E196" s="27"/>
      <c r="F196" s="27"/>
      <c r="G196" s="27"/>
      <c r="H196" s="27"/>
      <c r="I196" s="27"/>
      <c r="J196" s="27"/>
      <c r="K196" s="72"/>
    </row>
    <row r="197" spans="1:12" s="56" customFormat="1" ht="32.85" customHeight="1">
      <c r="B197" s="161" t="s">
        <v>258</v>
      </c>
      <c r="C197" s="1252" t="s">
        <v>298</v>
      </c>
      <c r="D197" s="1253"/>
      <c r="E197" s="1253"/>
      <c r="F197" s="1253"/>
      <c r="G197" s="1254"/>
      <c r="H197" s="161" t="s">
        <v>380</v>
      </c>
      <c r="I197" s="161" t="s">
        <v>381</v>
      </c>
      <c r="J197" s="172" t="s">
        <v>382</v>
      </c>
      <c r="K197" s="172" t="s">
        <v>1141</v>
      </c>
      <c r="L197" s="37"/>
    </row>
    <row r="198" spans="1:12" s="56" customFormat="1" ht="13.35" customHeight="1">
      <c r="B198" s="162">
        <v>1</v>
      </c>
      <c r="C198" s="1266" t="str">
        <f>PPK.HPS!B16</f>
        <v>PEKERJAAN PERSIAPAN</v>
      </c>
      <c r="D198" s="1267"/>
      <c r="E198" s="1267"/>
      <c r="F198" s="1267"/>
      <c r="G198" s="1268"/>
      <c r="H198" s="163">
        <f>PPK.HPS!F16</f>
        <v>0</v>
      </c>
      <c r="I198" s="165">
        <f>PPK.HPS!G16</f>
        <v>0</v>
      </c>
      <c r="J198" s="165">
        <f>Nego!I$9</f>
        <v>0</v>
      </c>
      <c r="K198" s="165">
        <f>I198*J198</f>
        <v>0</v>
      </c>
      <c r="L198" s="37"/>
    </row>
    <row r="199" spans="1:12" s="56" customFormat="1" ht="13.35" customHeight="1">
      <c r="B199" s="162" t="str">
        <f>IF(AND(B198&lt;&gt;0,D199&lt;&gt;0),B198+1,"")</f>
        <v/>
      </c>
      <c r="C199" s="1269" t="str">
        <f>PPK.HPS!B17</f>
        <v>Pengukuran</v>
      </c>
      <c r="D199" s="1270"/>
      <c r="E199" s="1270"/>
      <c r="F199" s="1270"/>
      <c r="G199" s="1271"/>
      <c r="H199" s="163" t="str">
        <f>PPK.HPS!F17</f>
        <v>keg</v>
      </c>
      <c r="I199" s="165">
        <f>PPK.HPS!G17</f>
        <v>1</v>
      </c>
      <c r="J199" s="165">
        <f>Nego!I10</f>
        <v>200000</v>
      </c>
      <c r="K199" s="165">
        <f t="shared" ref="K199:K221" si="23">I199*J199</f>
        <v>200000</v>
      </c>
      <c r="L199" s="37"/>
    </row>
    <row r="200" spans="1:12" s="56" customFormat="1" ht="13.35" customHeight="1">
      <c r="B200" s="162" t="str">
        <f t="shared" ref="B200:B224" si="24">IF(AND(B199&lt;&gt;0,D200&lt;&gt;0),B199+1,"")</f>
        <v/>
      </c>
      <c r="C200" s="1269" t="str">
        <f>PPK.HPS!B18</f>
        <v>Pembersihan Lokasi</v>
      </c>
      <c r="D200" s="1270"/>
      <c r="E200" s="1270"/>
      <c r="F200" s="1270"/>
      <c r="G200" s="1271"/>
      <c r="H200" s="163" t="str">
        <f>PPK.HPS!F18</f>
        <v>keg</v>
      </c>
      <c r="I200" s="165">
        <f>PPK.HPS!G18</f>
        <v>1</v>
      </c>
      <c r="J200" s="165">
        <f>Nego!I11</f>
        <v>300000</v>
      </c>
      <c r="K200" s="165">
        <f t="shared" si="23"/>
        <v>300000</v>
      </c>
      <c r="L200" s="37"/>
    </row>
    <row r="201" spans="1:12" s="56" customFormat="1" ht="13.35" customHeight="1">
      <c r="B201" s="162" t="str">
        <f t="shared" si="24"/>
        <v/>
      </c>
      <c r="C201" s="1269">
        <f>PPK.HPS!B19</f>
        <v>0</v>
      </c>
      <c r="D201" s="1270"/>
      <c r="E201" s="1270"/>
      <c r="F201" s="1270"/>
      <c r="G201" s="1271"/>
      <c r="H201" s="163">
        <f>PPK.HPS!F19</f>
        <v>0</v>
      </c>
      <c r="I201" s="165">
        <f>PPK.HPS!G19</f>
        <v>0</v>
      </c>
      <c r="J201" s="165">
        <f>Nego!I12</f>
        <v>0</v>
      </c>
      <c r="K201" s="165">
        <f t="shared" si="23"/>
        <v>0</v>
      </c>
      <c r="L201" s="37"/>
    </row>
    <row r="202" spans="1:12" s="56" customFormat="1" ht="12.75" customHeight="1">
      <c r="B202" s="162" t="str">
        <f t="shared" si="24"/>
        <v/>
      </c>
      <c r="C202" s="1269" t="str">
        <f>PPK.HPS!B20</f>
        <v>SMK3 KONSTRUKSI</v>
      </c>
      <c r="D202" s="1270"/>
      <c r="E202" s="1270"/>
      <c r="F202" s="1270"/>
      <c r="G202" s="1271"/>
      <c r="H202" s="163">
        <f>PPK.HPS!F20</f>
        <v>0</v>
      </c>
      <c r="I202" s="165">
        <f>PPK.HPS!G20</f>
        <v>0</v>
      </c>
      <c r="J202" s="165">
        <f>Nego!I13</f>
        <v>0</v>
      </c>
      <c r="K202" s="165">
        <f t="shared" si="23"/>
        <v>0</v>
      </c>
      <c r="L202" s="37"/>
    </row>
    <row r="203" spans="1:12" s="56" customFormat="1" ht="12.75" customHeight="1">
      <c r="B203" s="162" t="str">
        <f t="shared" si="24"/>
        <v/>
      </c>
      <c r="C203" s="1269" t="str">
        <f>PPK.HPS!B21</f>
        <v>Alat Pelindung Kerja dan Alat Pelindung Diri</v>
      </c>
      <c r="D203" s="1270"/>
      <c r="E203" s="1270"/>
      <c r="F203" s="1270"/>
      <c r="G203" s="1271"/>
      <c r="H203" s="163" t="str">
        <f>PPK.HPS!F21</f>
        <v>set</v>
      </c>
      <c r="I203" s="165">
        <f>PPK.HPS!G21</f>
        <v>5</v>
      </c>
      <c r="J203" s="165">
        <f>Nego!I14</f>
        <v>75000</v>
      </c>
      <c r="K203" s="165">
        <f t="shared" si="23"/>
        <v>375000</v>
      </c>
      <c r="L203" s="37"/>
    </row>
    <row r="204" spans="1:12" s="56" customFormat="1" ht="12.75" customHeight="1">
      <c r="B204" s="162" t="str">
        <f t="shared" si="24"/>
        <v/>
      </c>
      <c r="C204" s="1269">
        <f>PPK.HPS!B22</f>
        <v>0</v>
      </c>
      <c r="D204" s="1270"/>
      <c r="E204" s="1270"/>
      <c r="F204" s="1270"/>
      <c r="G204" s="1271"/>
      <c r="H204" s="163">
        <f>PPK.HPS!F22</f>
        <v>0</v>
      </c>
      <c r="I204" s="165">
        <f>PPK.HPS!G22</f>
        <v>0</v>
      </c>
      <c r="J204" s="165">
        <f>Nego!I15</f>
        <v>0</v>
      </c>
      <c r="K204" s="165">
        <f t="shared" si="23"/>
        <v>0</v>
      </c>
      <c r="L204" s="37"/>
    </row>
    <row r="205" spans="1:12" s="56" customFormat="1" ht="12.75" customHeight="1">
      <c r="B205" s="162" t="str">
        <f t="shared" si="24"/>
        <v/>
      </c>
      <c r="C205" s="1269" t="str">
        <f>PPK.HPS!B23</f>
        <v>PEKERJAAN PENGECATAN</v>
      </c>
      <c r="D205" s="1270"/>
      <c r="E205" s="1270"/>
      <c r="F205" s="1270"/>
      <c r="G205" s="1271"/>
      <c r="H205" s="163">
        <f>PPK.HPS!F23</f>
        <v>0</v>
      </c>
      <c r="I205" s="165">
        <f>PPK.HPS!G23</f>
        <v>0</v>
      </c>
      <c r="J205" s="165">
        <f>Nego!I16</f>
        <v>0</v>
      </c>
      <c r="K205" s="165">
        <f t="shared" si="23"/>
        <v>0</v>
      </c>
      <c r="L205" s="37"/>
    </row>
    <row r="206" spans="1:12" s="56" customFormat="1" ht="12.75" customHeight="1">
      <c r="B206" s="162" t="str">
        <f t="shared" si="24"/>
        <v/>
      </c>
      <c r="C206" s="1269" t="str">
        <f>PPK.HPS!B24</f>
        <v>Sewa stager</v>
      </c>
      <c r="D206" s="1270"/>
      <c r="E206" s="1270"/>
      <c r="F206" s="1270"/>
      <c r="G206" s="1271"/>
      <c r="H206" s="163" t="str">
        <f>PPK.HPS!F24</f>
        <v>keg</v>
      </c>
      <c r="I206" s="165">
        <f>PPK.HPS!G24</f>
        <v>1</v>
      </c>
      <c r="J206" s="165">
        <f>Nego!I17</f>
        <v>4500000</v>
      </c>
      <c r="K206" s="165">
        <f t="shared" si="23"/>
        <v>4500000</v>
      </c>
      <c r="L206" s="37"/>
    </row>
    <row r="207" spans="1:12" s="56" customFormat="1" ht="12.75" customHeight="1">
      <c r="B207" s="162" t="str">
        <f t="shared" si="24"/>
        <v/>
      </c>
      <c r="C207" s="1269" t="str">
        <f>PPK.HPS!B25</f>
        <v xml:space="preserve">Pengerokan cat yang terkelupas </v>
      </c>
      <c r="D207" s="1270"/>
      <c r="E207" s="1270"/>
      <c r="F207" s="1270"/>
      <c r="G207" s="1271"/>
      <c r="H207" s="163" t="str">
        <f>PPK.HPS!F25</f>
        <v>m2</v>
      </c>
      <c r="I207" s="165">
        <f>PPK.HPS!G25</f>
        <v>168.58</v>
      </c>
      <c r="J207" s="165">
        <f>Nego!I18</f>
        <v>19719.974999999999</v>
      </c>
      <c r="K207" s="165">
        <f t="shared" si="23"/>
        <v>3324393.3854999999</v>
      </c>
      <c r="L207" s="37"/>
    </row>
    <row r="208" spans="1:12" s="56" customFormat="1" ht="12.75" customHeight="1">
      <c r="B208" s="162" t="str">
        <f t="shared" si="24"/>
        <v/>
      </c>
      <c r="C208" s="1269" t="str">
        <f>PPK.HPS!B26</f>
        <v>Pengecatan ulang dinding luar</v>
      </c>
      <c r="D208" s="1270"/>
      <c r="E208" s="1270"/>
      <c r="F208" s="1270"/>
      <c r="G208" s="1271"/>
      <c r="H208" s="163" t="str">
        <f>PPK.HPS!F26</f>
        <v>m2</v>
      </c>
      <c r="I208" s="165">
        <f>PPK.HPS!G26</f>
        <v>842.91</v>
      </c>
      <c r="J208" s="165">
        <f>Nego!I19</f>
        <v>40683.290999999997</v>
      </c>
      <c r="K208" s="165">
        <f t="shared" si="23"/>
        <v>34292352.816809997</v>
      </c>
      <c r="L208" s="37"/>
    </row>
    <row r="209" spans="2:13" s="56" customFormat="1" ht="12.75" customHeight="1">
      <c r="B209" s="162" t="str">
        <f t="shared" si="24"/>
        <v/>
      </c>
      <c r="C209" s="1269" t="str">
        <f>PPK.HPS!B27</f>
        <v>Pengecatan ACP dengan cat besi</v>
      </c>
      <c r="D209" s="1270"/>
      <c r="E209" s="1270"/>
      <c r="F209" s="1270"/>
      <c r="G209" s="1271"/>
      <c r="H209" s="163" t="str">
        <f>PPK.HPS!F27</f>
        <v>m2</v>
      </c>
      <c r="I209" s="165">
        <f>PPK.HPS!G27</f>
        <v>419</v>
      </c>
      <c r="J209" s="165">
        <f>Nego!I20</f>
        <v>47607.593000000001</v>
      </c>
      <c r="K209" s="165">
        <f t="shared" si="23"/>
        <v>19947581.467</v>
      </c>
      <c r="L209" s="37"/>
    </row>
    <row r="210" spans="2:13" s="56" customFormat="1" ht="12.75" customHeight="1">
      <c r="B210" s="162" t="str">
        <f t="shared" si="24"/>
        <v/>
      </c>
      <c r="C210" s="1269">
        <f>PPK.HPS!B28</f>
        <v>0</v>
      </c>
      <c r="D210" s="1270"/>
      <c r="E210" s="1270"/>
      <c r="F210" s="1270"/>
      <c r="G210" s="1271"/>
      <c r="H210" s="163">
        <f>PPK.HPS!F28</f>
        <v>0</v>
      </c>
      <c r="I210" s="165">
        <f>PPK.HPS!G28</f>
        <v>0</v>
      </c>
      <c r="J210" s="165">
        <f>Nego!I21</f>
        <v>0</v>
      </c>
      <c r="K210" s="165">
        <f t="shared" si="23"/>
        <v>0</v>
      </c>
      <c r="L210" s="37"/>
    </row>
    <row r="211" spans="2:13" s="56" customFormat="1" ht="12.75" customHeight="1">
      <c r="B211" s="162" t="str">
        <f t="shared" si="24"/>
        <v/>
      </c>
      <c r="C211" s="1269">
        <f>PPK.HPS!B29</f>
        <v>0</v>
      </c>
      <c r="D211" s="1270"/>
      <c r="E211" s="1270"/>
      <c r="F211" s="1270"/>
      <c r="G211" s="1271"/>
      <c r="H211" s="163">
        <f>PPK.HPS!F29</f>
        <v>0</v>
      </c>
      <c r="I211" s="165">
        <f>PPK.HPS!G29</f>
        <v>0</v>
      </c>
      <c r="J211" s="165">
        <f>Nego!I22</f>
        <v>0</v>
      </c>
      <c r="K211" s="165">
        <f t="shared" si="23"/>
        <v>0</v>
      </c>
      <c r="L211" s="37"/>
    </row>
    <row r="212" spans="2:13" s="56" customFormat="1" ht="12.75" customHeight="1">
      <c r="B212" s="162" t="str">
        <f t="shared" si="24"/>
        <v/>
      </c>
      <c r="C212" s="1269">
        <f>PPK.HPS!B30</f>
        <v>0</v>
      </c>
      <c r="D212" s="1270"/>
      <c r="E212" s="1270"/>
      <c r="F212" s="1270"/>
      <c r="G212" s="1271"/>
      <c r="H212" s="163">
        <f>PPK.HPS!F30</f>
        <v>0</v>
      </c>
      <c r="I212" s="165">
        <f>PPK.HPS!G30</f>
        <v>0</v>
      </c>
      <c r="J212" s="165">
        <f>Nego!I23</f>
        <v>0</v>
      </c>
      <c r="K212" s="165">
        <f t="shared" si="23"/>
        <v>0</v>
      </c>
      <c r="L212" s="37"/>
    </row>
    <row r="213" spans="2:13" s="56" customFormat="1" ht="12.75" customHeight="1">
      <c r="B213" s="162" t="str">
        <f t="shared" si="24"/>
        <v/>
      </c>
      <c r="C213" s="1269">
        <f>PPK.HPS!B31</f>
        <v>0</v>
      </c>
      <c r="D213" s="1270"/>
      <c r="E213" s="1270"/>
      <c r="F213" s="1270"/>
      <c r="G213" s="1271"/>
      <c r="H213" s="163">
        <f>PPK.HPS!F31</f>
        <v>0</v>
      </c>
      <c r="I213" s="165">
        <f>PPK.HPS!G31</f>
        <v>0</v>
      </c>
      <c r="J213" s="165">
        <f>Nego!I24</f>
        <v>0</v>
      </c>
      <c r="K213" s="165">
        <f t="shared" si="23"/>
        <v>0</v>
      </c>
      <c r="L213" s="37"/>
    </row>
    <row r="214" spans="2:13" s="56" customFormat="1" ht="12.75" customHeight="1">
      <c r="B214" s="162" t="str">
        <f t="shared" si="24"/>
        <v/>
      </c>
      <c r="C214" s="1269">
        <f>PPK.HPS!B32</f>
        <v>0</v>
      </c>
      <c r="D214" s="1270"/>
      <c r="E214" s="1270"/>
      <c r="F214" s="1270"/>
      <c r="G214" s="1271"/>
      <c r="H214" s="163">
        <f>PPK.HPS!F32</f>
        <v>0</v>
      </c>
      <c r="I214" s="165">
        <f>PPK.HPS!G32</f>
        <v>0</v>
      </c>
      <c r="J214" s="165">
        <f>Nego!I25</f>
        <v>0</v>
      </c>
      <c r="K214" s="165">
        <f t="shared" si="23"/>
        <v>0</v>
      </c>
      <c r="L214" s="37"/>
    </row>
    <row r="215" spans="2:13" s="56" customFormat="1" ht="12.75" customHeight="1">
      <c r="B215" s="162"/>
      <c r="C215" s="1269">
        <f>PPK.HPS!B33</f>
        <v>0</v>
      </c>
      <c r="D215" s="1270"/>
      <c r="E215" s="1270"/>
      <c r="F215" s="1270"/>
      <c r="G215" s="1271"/>
      <c r="H215" s="163">
        <f>PPK.HPS!F33</f>
        <v>0</v>
      </c>
      <c r="I215" s="165">
        <f>PPK.HPS!G33</f>
        <v>0</v>
      </c>
      <c r="J215" s="165">
        <f>Nego!I26</f>
        <v>0</v>
      </c>
      <c r="K215" s="165">
        <f t="shared" si="23"/>
        <v>0</v>
      </c>
      <c r="L215" s="37"/>
    </row>
    <row r="216" spans="2:13" s="56" customFormat="1" ht="12.75" customHeight="1">
      <c r="B216" s="162"/>
      <c r="C216" s="1269">
        <f>PPK.HPS!B34</f>
        <v>0</v>
      </c>
      <c r="D216" s="1270"/>
      <c r="E216" s="1270"/>
      <c r="F216" s="1270"/>
      <c r="G216" s="1271"/>
      <c r="H216" s="163">
        <f>PPK.HPS!F34</f>
        <v>0</v>
      </c>
      <c r="I216" s="165">
        <f>PPK.HPS!G34</f>
        <v>0</v>
      </c>
      <c r="J216" s="165">
        <f>Nego!I27</f>
        <v>0</v>
      </c>
      <c r="K216" s="165">
        <f t="shared" si="23"/>
        <v>0</v>
      </c>
      <c r="L216" s="37"/>
    </row>
    <row r="217" spans="2:13" s="56" customFormat="1" ht="12.75" customHeight="1">
      <c r="B217" s="162"/>
      <c r="C217" s="1269">
        <f>PPK.HPS!B35</f>
        <v>0</v>
      </c>
      <c r="D217" s="1270"/>
      <c r="E217" s="1270"/>
      <c r="F217" s="1270"/>
      <c r="G217" s="1271"/>
      <c r="H217" s="163">
        <f>PPK.HPS!F35</f>
        <v>0</v>
      </c>
      <c r="I217" s="165">
        <f>PPK.HPS!G35</f>
        <v>0</v>
      </c>
      <c r="J217" s="165">
        <f>Nego!I28</f>
        <v>0</v>
      </c>
      <c r="K217" s="165">
        <f t="shared" si="23"/>
        <v>0</v>
      </c>
      <c r="L217" s="37"/>
    </row>
    <row r="218" spans="2:13" s="56" customFormat="1" ht="12.75" customHeight="1">
      <c r="B218" s="162"/>
      <c r="C218" s="1269">
        <f>PPK.HPS!B36</f>
        <v>0</v>
      </c>
      <c r="D218" s="1270"/>
      <c r="E218" s="1270"/>
      <c r="F218" s="1270"/>
      <c r="G218" s="1271"/>
      <c r="H218" s="163">
        <f>PPK.HPS!F36</f>
        <v>0</v>
      </c>
      <c r="I218" s="165">
        <f>PPK.HPS!G36</f>
        <v>0</v>
      </c>
      <c r="J218" s="165">
        <f>Nego!I29</f>
        <v>0</v>
      </c>
      <c r="K218" s="165">
        <f t="shared" si="23"/>
        <v>0</v>
      </c>
      <c r="L218" s="37"/>
    </row>
    <row r="219" spans="2:13" s="56" customFormat="1" ht="12.75" customHeight="1">
      <c r="B219" s="162"/>
      <c r="C219" s="1269">
        <f>PPK.HPS!B37</f>
        <v>0</v>
      </c>
      <c r="D219" s="1270"/>
      <c r="E219" s="1270"/>
      <c r="F219" s="1270"/>
      <c r="G219" s="1271"/>
      <c r="H219" s="163">
        <f>PPK.HPS!F37</f>
        <v>0</v>
      </c>
      <c r="I219" s="165">
        <f>PPK.HPS!G37</f>
        <v>0</v>
      </c>
      <c r="J219" s="165">
        <f>Nego!I30</f>
        <v>0</v>
      </c>
      <c r="K219" s="165">
        <f t="shared" si="23"/>
        <v>0</v>
      </c>
      <c r="L219" s="37"/>
    </row>
    <row r="220" spans="2:13" s="56" customFormat="1" ht="12.75" customHeight="1">
      <c r="B220" s="162"/>
      <c r="C220" s="1269">
        <f>PPK.HPS!B38</f>
        <v>0</v>
      </c>
      <c r="D220" s="1270"/>
      <c r="E220" s="1270"/>
      <c r="F220" s="1270"/>
      <c r="G220" s="1271"/>
      <c r="H220" s="163">
        <f>PPK.HPS!F38</f>
        <v>0</v>
      </c>
      <c r="I220" s="165">
        <f>PPK.HPS!G38</f>
        <v>0</v>
      </c>
      <c r="J220" s="165">
        <f>Nego!I31</f>
        <v>0</v>
      </c>
      <c r="K220" s="165">
        <f t="shared" si="23"/>
        <v>0</v>
      </c>
      <c r="L220" s="37"/>
    </row>
    <row r="221" spans="2:13" s="56" customFormat="1" ht="12.75" customHeight="1">
      <c r="B221" s="162" t="str">
        <f>IF(AND(B214&lt;&gt;0,D221&lt;&gt;0),B214+1,"")</f>
        <v/>
      </c>
      <c r="C221" s="1269">
        <f>PPK.HPS!B39</f>
        <v>0</v>
      </c>
      <c r="D221" s="1270"/>
      <c r="E221" s="1270"/>
      <c r="F221" s="1270"/>
      <c r="G221" s="1271"/>
      <c r="H221" s="163">
        <f>PPK.HPS!F42</f>
        <v>0</v>
      </c>
      <c r="I221" s="165">
        <f>PPK.HPS!G39</f>
        <v>0</v>
      </c>
      <c r="J221" s="165">
        <f>Nego!I32</f>
        <v>0</v>
      </c>
      <c r="K221" s="165">
        <f t="shared" si="23"/>
        <v>0</v>
      </c>
      <c r="L221" s="37"/>
    </row>
    <row r="222" spans="2:13" s="56" customFormat="1" ht="12.75" customHeight="1">
      <c r="B222" s="162" t="str">
        <f t="shared" si="24"/>
        <v/>
      </c>
      <c r="C222" s="1261"/>
      <c r="D222" s="1262"/>
      <c r="E222" s="1262"/>
      <c r="F222" s="1262"/>
      <c r="G222" s="1262"/>
      <c r="H222" s="174"/>
      <c r="I222" s="176"/>
      <c r="J222" s="179" t="s">
        <v>376</v>
      </c>
      <c r="K222" s="180">
        <f>SUM(K198:K221)</f>
        <v>62939327.669309996</v>
      </c>
      <c r="L222" s="37"/>
    </row>
    <row r="223" spans="2:13" s="56" customFormat="1" ht="12.75" customHeight="1">
      <c r="B223" s="168" t="str">
        <f t="shared" si="24"/>
        <v/>
      </c>
      <c r="C223" s="1261"/>
      <c r="D223" s="1262"/>
      <c r="E223" s="1262"/>
      <c r="F223" s="1262"/>
      <c r="G223" s="1262"/>
      <c r="H223" s="174"/>
      <c r="I223" s="176"/>
      <c r="J223" s="181">
        <v>0.11</v>
      </c>
      <c r="K223" s="180">
        <f>K222*J223</f>
        <v>6923326.0436240993</v>
      </c>
      <c r="L223" s="37"/>
    </row>
    <row r="224" spans="2:13" s="56" customFormat="1" ht="12.75" customHeight="1">
      <c r="B224" s="173" t="str">
        <f t="shared" si="24"/>
        <v/>
      </c>
      <c r="C224" s="1261"/>
      <c r="D224" s="1262"/>
      <c r="E224" s="1262"/>
      <c r="F224" s="1262"/>
      <c r="G224" s="1262"/>
      <c r="H224" s="174"/>
      <c r="I224" s="176"/>
      <c r="J224" s="839" t="s">
        <v>1346</v>
      </c>
      <c r="K224" s="178">
        <f>ROUNDDOWN(K222+K223,-3)</f>
        <v>69862000</v>
      </c>
      <c r="L224" s="37"/>
      <c r="M224" s="112"/>
    </row>
    <row r="225" spans="1:13" s="56" customFormat="1" ht="15" customHeight="1">
      <c r="B225" s="37" t="s">
        <v>1142</v>
      </c>
      <c r="C225" s="37" t="s">
        <v>2</v>
      </c>
      <c r="D225" s="37" t="str">
        <f>D92</f>
        <v>Harga tersebut di atas sudah termasuk pajak-pajak dan biaya pungutan resmi lainnya.</v>
      </c>
      <c r="E225" s="64"/>
      <c r="F225" s="175"/>
      <c r="G225" s="175"/>
      <c r="H225" s="175"/>
      <c r="I225" s="175"/>
      <c r="J225" s="175"/>
      <c r="K225" s="175"/>
      <c r="L225" s="170"/>
      <c r="M225" s="37"/>
    </row>
    <row r="226" spans="1:13" s="56" customFormat="1" ht="3" customHeight="1">
      <c r="B226" s="37"/>
      <c r="C226" s="37"/>
      <c r="D226" s="64"/>
      <c r="E226" s="64"/>
      <c r="F226" s="170"/>
      <c r="G226" s="170"/>
      <c r="H226" s="170"/>
      <c r="I226" s="170"/>
      <c r="J226" s="170"/>
      <c r="K226" s="170"/>
      <c r="L226" s="170"/>
      <c r="M226" s="37"/>
    </row>
    <row r="227" spans="1:13" ht="15" customHeight="1">
      <c r="A227" s="60" t="s">
        <v>1155</v>
      </c>
      <c r="B227" s="60"/>
      <c r="C227" s="60"/>
      <c r="D227" s="60"/>
      <c r="E227" s="60"/>
      <c r="F227" s="60"/>
      <c r="G227" s="60"/>
      <c r="H227" s="60"/>
      <c r="I227" s="60"/>
      <c r="J227" s="60"/>
      <c r="K227" s="60"/>
    </row>
    <row r="228" spans="1:13" s="56" customFormat="1" ht="15" customHeight="1">
      <c r="B228" s="37"/>
      <c r="C228" s="37"/>
      <c r="D228" s="44"/>
      <c r="E228" s="64"/>
      <c r="F228" s="63"/>
      <c r="G228" s="63"/>
      <c r="H228" s="44"/>
      <c r="I228" s="44"/>
      <c r="J228" s="73"/>
      <c r="K228" s="74"/>
      <c r="L228" s="74"/>
      <c r="M228" s="37"/>
    </row>
    <row r="229" spans="1:13" s="56" customFormat="1" ht="15" customHeight="1">
      <c r="A229" s="1138" t="str">
        <f>bu_nama</f>
        <v>PT. DARUSSALAM MEDIA GROUP</v>
      </c>
      <c r="B229" s="1138"/>
      <c r="C229" s="1138"/>
      <c r="D229" s="1138"/>
      <c r="E229" s="1138"/>
      <c r="F229" s="1138"/>
      <c r="G229" s="63"/>
      <c r="H229" s="1138" t="str">
        <f>opd_nama</f>
        <v>Badan Pengelolaan Keuangan dan Aset Daerah</v>
      </c>
      <c r="I229" s="1138"/>
      <c r="J229" s="1138"/>
      <c r="K229" s="1138"/>
      <c r="L229" s="74"/>
      <c r="M229" s="37"/>
    </row>
    <row r="230" spans="1:13" s="56" customFormat="1" ht="15" customHeight="1">
      <c r="B230" s="37"/>
      <c r="C230" s="37"/>
      <c r="D230" s="64"/>
      <c r="E230" s="64"/>
      <c r="F230" s="63"/>
      <c r="G230" s="63"/>
      <c r="H230" s="44"/>
      <c r="I230" s="44"/>
      <c r="J230" s="73"/>
      <c r="K230" s="74"/>
      <c r="L230" s="74"/>
      <c r="M230" s="37"/>
    </row>
    <row r="231" spans="1:13" s="56" customFormat="1" ht="15" customHeight="1">
      <c r="B231" s="37"/>
      <c r="C231" s="37"/>
      <c r="D231" s="64"/>
      <c r="E231" s="64"/>
      <c r="F231" s="63"/>
      <c r="G231" s="63"/>
      <c r="H231" s="44"/>
      <c r="I231" s="44"/>
      <c r="J231" s="73"/>
      <c r="K231" s="74"/>
      <c r="L231" s="74"/>
      <c r="M231" s="37"/>
    </row>
    <row r="232" spans="1:13" s="56" customFormat="1" ht="15" customHeight="1">
      <c r="B232" s="37"/>
      <c r="C232" s="37"/>
      <c r="D232" s="64"/>
      <c r="E232" s="64"/>
      <c r="F232" s="63"/>
      <c r="G232" s="63"/>
      <c r="H232" s="44"/>
      <c r="I232" s="44"/>
      <c r="J232" s="73"/>
      <c r="K232" s="74"/>
      <c r="L232" s="74"/>
      <c r="M232" s="37"/>
    </row>
    <row r="233" spans="1:13" s="56" customFormat="1" ht="15" customHeight="1">
      <c r="B233" s="37"/>
      <c r="C233" s="37"/>
      <c r="D233" s="64"/>
      <c r="E233" s="64"/>
      <c r="F233" s="63"/>
      <c r="G233" s="63"/>
      <c r="H233" s="44"/>
      <c r="I233" s="44"/>
      <c r="J233" s="73"/>
      <c r="K233" s="74"/>
      <c r="L233" s="74"/>
      <c r="M233" s="37"/>
    </row>
    <row r="234" spans="1:13" s="56" customFormat="1" ht="15" customHeight="1">
      <c r="A234" s="1241" t="str">
        <f>bu_pimn</f>
        <v>Saripudin</v>
      </c>
      <c r="B234" s="1241"/>
      <c r="C234" s="1241"/>
      <c r="D234" s="1241"/>
      <c r="E234" s="1241"/>
      <c r="F234" s="1241"/>
      <c r="G234" s="63"/>
      <c r="H234" s="1241" t="str">
        <f>ppk_nama</f>
        <v>Ika Kurnia Mustika, ST, MT</v>
      </c>
      <c r="I234" s="1241"/>
      <c r="J234" s="1241"/>
      <c r="K234" s="1241"/>
      <c r="L234" s="74"/>
      <c r="M234" s="37"/>
    </row>
    <row r="235" spans="1:13" s="56" customFormat="1" ht="15" customHeight="1">
      <c r="A235" s="1138" t="str">
        <f>bu_pim</f>
        <v>Direktur</v>
      </c>
      <c r="B235" s="1138"/>
      <c r="C235" s="1138"/>
      <c r="D235" s="1138"/>
      <c r="E235" s="1138"/>
      <c r="F235" s="1138"/>
      <c r="G235" s="63"/>
      <c r="H235" s="1138" t="str">
        <f>ppk_jab</f>
        <v>Pejabat Pembuat Komitmen</v>
      </c>
      <c r="I235" s="1138"/>
      <c r="J235" s="1138"/>
      <c r="K235" s="1138"/>
      <c r="L235" s="74"/>
      <c r="M235" s="37"/>
    </row>
    <row r="236" spans="1:13" ht="5.25" customHeight="1"/>
    <row r="237" spans="1:13" ht="15" customHeight="1"/>
    <row r="238" spans="1:13" ht="15" customHeight="1">
      <c r="A238" s="27"/>
      <c r="B238" s="27"/>
      <c r="C238" s="27"/>
      <c r="D238" s="27"/>
      <c r="E238" s="27"/>
      <c r="F238" s="27"/>
      <c r="G238" s="27"/>
      <c r="H238" s="27"/>
      <c r="I238" s="27"/>
      <c r="J238" s="27"/>
      <c r="K238" s="72" t="str">
        <f>ppk_lok&amp;", "&amp;TEXT(Input!$F$104,"[$-421]d mmmm yyyy")</f>
        <v>Mataram, 2 September 2023</v>
      </c>
    </row>
    <row r="239" spans="1:13" ht="15" customHeight="1">
      <c r="A239" s="60" t="s">
        <v>237</v>
      </c>
      <c r="B239" s="60"/>
      <c r="C239" s="60" t="s">
        <v>2</v>
      </c>
      <c r="D239" s="60" t="str">
        <f>Input!D104</f>
        <v>027.3/17/BAPH/BPKAD/2024</v>
      </c>
      <c r="E239" s="60"/>
      <c r="F239" s="60"/>
      <c r="G239" s="60"/>
      <c r="H239" s="60"/>
      <c r="I239" s="60" t="s">
        <v>848</v>
      </c>
      <c r="J239" s="60"/>
      <c r="K239" s="60"/>
      <c r="L239" s="71" t="s">
        <v>253</v>
      </c>
    </row>
    <row r="240" spans="1:13" ht="15" customHeight="1">
      <c r="A240" s="37" t="s">
        <v>267</v>
      </c>
      <c r="B240" s="37"/>
      <c r="C240" s="37" t="s">
        <v>2</v>
      </c>
      <c r="D240" s="796" t="s">
        <v>847</v>
      </c>
      <c r="E240" s="37"/>
      <c r="F240" s="37"/>
      <c r="G240" s="37"/>
      <c r="H240" s="37"/>
      <c r="I240" s="1148" t="str">
        <f>pa_jab&amp;" selaku "&amp;pa_sku</f>
        <v>Kepala Badan Pengelolaan Keuangan dan Aset Daerah selaku Pengguna Anggaran</v>
      </c>
      <c r="J240" s="1148"/>
      <c r="K240" s="1148"/>
      <c r="L240" s="56"/>
    </row>
    <row r="241" spans="1:12" ht="15" customHeight="1">
      <c r="A241" s="60" t="s">
        <v>269</v>
      </c>
      <c r="B241" s="60"/>
      <c r="C241" s="60" t="s">
        <v>2</v>
      </c>
      <c r="D241" s="1089" t="str">
        <f>"Penyerahan Hasil Pekerjaan "&amp;paket</f>
        <v>Penyerahan Hasil Pekerjaan Belanja Pemeliharaan Bangunan Gedung-Bangunan Gedung Tempat Kerja-Bangunan Gedung Kantor-Pemeliharaan Gedung Bertingkat</v>
      </c>
      <c r="E241" s="1089"/>
      <c r="F241" s="1089"/>
      <c r="G241" s="75"/>
      <c r="H241" s="60"/>
      <c r="I241" s="1148"/>
      <c r="J241" s="1148"/>
      <c r="K241" s="1148"/>
      <c r="L241" s="56"/>
    </row>
    <row r="242" spans="1:12" ht="15" customHeight="1">
      <c r="A242" s="60"/>
      <c r="B242" s="60"/>
      <c r="C242" s="60"/>
      <c r="D242" s="1089"/>
      <c r="E242" s="1089"/>
      <c r="F242" s="1089"/>
      <c r="G242" s="75"/>
      <c r="H242" s="60"/>
      <c r="I242" s="60" t="s">
        <v>849</v>
      </c>
      <c r="J242" s="60"/>
      <c r="K242" s="60"/>
      <c r="L242" s="60"/>
    </row>
    <row r="243" spans="1:12" ht="15" customHeight="1">
      <c r="D243" s="1089"/>
      <c r="E243" s="1089"/>
      <c r="F243" s="1089"/>
      <c r="G243" s="75"/>
      <c r="H243" s="60"/>
      <c r="I243" s="60"/>
      <c r="J243" s="60" t="str">
        <f>pa_lok</f>
        <v>Mataram</v>
      </c>
      <c r="K243" s="60"/>
      <c r="L243" s="60"/>
    </row>
    <row r="244" spans="1:12" ht="15" customHeight="1"/>
    <row r="245" spans="1:12" ht="15" customHeight="1">
      <c r="D245" s="1021" t="str">
        <f>"Sehubungan dengan telah diselesaikannya pekerjaan "&amp;paket&amp;" sesuai Surat Perintah Kerja (SPK) nomor "&amp;Input!$D$91&amp;" tanggal "&amp;TEXT(Input!$F$91,"[$-421]d mmmm yyyy")&amp;" dengan nilai Rp. "&amp;TEXT(bu_hn,tiko1)&amp;" ("&amp;bu_hn2&amp;"), maka dengan ini kami menyerahkan hasil pekerjaan tersebut untuk dapat diproses pencatatan dan pembayaran."</f>
        <v>Sehubungan dengan telah diselesaikannya pekerjaan Belanja Pemeliharaan Bangunan Gedung-Bangunan Gedung Tempat Kerja-Bangunan Gedung Kantor-Pemeliharaan Gedung Bertingkat sesuai Surat Perintah Kerja (SPK) nomor 027.1/1/SPK/BPKAD/2025 tanggal 3 Agustus 2023 dengan nilai Rp. 69,862,000 (Enam Puluh Sembilan Juta Delapan Ratus Enam Puluh Dua Ribu Rupiah), maka dengan ini kami menyerahkan hasil pekerjaan tersebut untuk dapat diproses pencatatan dan pembayaran.</v>
      </c>
      <c r="E245" s="1021"/>
      <c r="F245" s="1021"/>
      <c r="G245" s="1021"/>
      <c r="H245" s="1021"/>
      <c r="I245" s="1021"/>
      <c r="J245" s="1021"/>
      <c r="K245" s="1021"/>
    </row>
    <row r="246" spans="1:12" ht="15" customHeight="1">
      <c r="D246" s="1021"/>
      <c r="E246" s="1021"/>
      <c r="F246" s="1021"/>
      <c r="G246" s="1021"/>
      <c r="H246" s="1021"/>
      <c r="I246" s="1021"/>
      <c r="J246" s="1021"/>
      <c r="K246" s="1021"/>
    </row>
    <row r="247" spans="1:12" ht="15" customHeight="1">
      <c r="D247" s="1021"/>
      <c r="E247" s="1021"/>
      <c r="F247" s="1021"/>
      <c r="G247" s="1021"/>
      <c r="H247" s="1021"/>
      <c r="I247" s="1021"/>
      <c r="J247" s="1021"/>
      <c r="K247" s="1021"/>
    </row>
    <row r="248" spans="1:12" ht="15" customHeight="1">
      <c r="D248" s="1021"/>
      <c r="E248" s="1021"/>
      <c r="F248" s="1021"/>
      <c r="G248" s="1021"/>
      <c r="H248" s="1021"/>
      <c r="I248" s="1021"/>
      <c r="J248" s="1021"/>
      <c r="K248" s="1021"/>
    </row>
    <row r="249" spans="1:12" ht="15" customHeight="1">
      <c r="D249" s="1021"/>
      <c r="E249" s="1021"/>
      <c r="F249" s="1021"/>
      <c r="G249" s="1021"/>
      <c r="H249" s="1021"/>
      <c r="I249" s="1021"/>
      <c r="J249" s="1021"/>
      <c r="K249" s="1021"/>
    </row>
    <row r="250" spans="1:12" ht="15" customHeight="1">
      <c r="C250" s="43"/>
      <c r="D250" s="43"/>
      <c r="H250" s="44"/>
      <c r="I250" s="44"/>
      <c r="J250" s="53"/>
      <c r="K250" s="53"/>
    </row>
    <row r="251" spans="1:12" ht="15" customHeight="1">
      <c r="C251" s="38"/>
      <c r="D251" s="37" t="s">
        <v>854</v>
      </c>
      <c r="E251" s="37"/>
      <c r="F251" s="37"/>
      <c r="G251" s="37"/>
      <c r="H251" s="37"/>
      <c r="I251" s="37"/>
      <c r="J251" s="37"/>
      <c r="K251" s="37"/>
    </row>
    <row r="252" spans="1:12" ht="15" customHeight="1">
      <c r="C252" s="43"/>
      <c r="D252" s="43"/>
      <c r="H252" s="54"/>
      <c r="I252" s="54"/>
      <c r="J252" s="53"/>
      <c r="K252" s="53"/>
    </row>
    <row r="253" spans="1:12" ht="15" customHeight="1">
      <c r="C253" s="43"/>
      <c r="D253" s="43"/>
      <c r="I253" s="67" t="str">
        <f>ppk_jab</f>
        <v>Pejabat Pembuat Komitmen</v>
      </c>
      <c r="J253" s="67"/>
      <c r="K253" s="53"/>
      <c r="L253" s="53"/>
    </row>
    <row r="254" spans="1:12" ht="15" customHeight="1">
      <c r="C254" s="43"/>
      <c r="D254" s="43"/>
      <c r="I254" s="54"/>
      <c r="J254" s="54"/>
      <c r="K254" s="53"/>
      <c r="L254" s="53"/>
    </row>
    <row r="255" spans="1:12" ht="15" customHeight="1">
      <c r="C255" s="43"/>
      <c r="D255" s="43"/>
      <c r="I255" s="44"/>
      <c r="J255" s="44"/>
      <c r="K255" s="53"/>
      <c r="L255" s="53"/>
    </row>
    <row r="256" spans="1:12" ht="15" customHeight="1">
      <c r="C256" s="43"/>
      <c r="D256" s="43"/>
      <c r="I256" s="44"/>
      <c r="J256" s="44"/>
      <c r="K256" s="53"/>
      <c r="L256" s="53"/>
    </row>
    <row r="257" spans="1:12" ht="15" customHeight="1">
      <c r="C257" s="43"/>
      <c r="D257" s="43"/>
      <c r="I257" s="55" t="str">
        <f>ppk_nama</f>
        <v>Ika Kurnia Mustika, ST, MT</v>
      </c>
      <c r="J257" s="55"/>
      <c r="K257" s="53"/>
      <c r="L257" s="53"/>
    </row>
    <row r="258" spans="1:12" ht="15" customHeight="1">
      <c r="C258" s="43"/>
      <c r="D258" s="43"/>
      <c r="I258" s="44" t="str">
        <f>"NIP. "&amp;ppk_nip</f>
        <v>NIP. 19791117 200901 1 006</v>
      </c>
      <c r="J258" s="44"/>
      <c r="K258" s="53"/>
      <c r="L258" s="53"/>
    </row>
    <row r="259" spans="1:12" ht="15" customHeight="1">
      <c r="C259" s="43"/>
      <c r="D259" s="43"/>
      <c r="H259" s="44"/>
      <c r="I259" s="44"/>
      <c r="J259" s="53"/>
      <c r="K259" s="53"/>
    </row>
    <row r="260" spans="1:12" ht="15" customHeight="1">
      <c r="A260" s="37"/>
      <c r="B260" s="37"/>
      <c r="C260" s="38"/>
      <c r="D260" s="38"/>
      <c r="E260" s="37"/>
      <c r="F260" s="37"/>
      <c r="G260" s="37"/>
      <c r="H260" s="37"/>
      <c r="I260" s="37"/>
      <c r="J260" s="37"/>
      <c r="K260" s="37"/>
    </row>
    <row r="261" spans="1:12" ht="15" customHeight="1">
      <c r="A261" s="37"/>
      <c r="B261" s="37"/>
      <c r="C261" s="38"/>
      <c r="D261" s="38"/>
      <c r="E261" s="37"/>
      <c r="F261" s="37"/>
      <c r="G261" s="37"/>
      <c r="H261" s="39"/>
      <c r="I261" s="39"/>
      <c r="J261" s="37"/>
      <c r="K261" s="37"/>
    </row>
    <row r="262" spans="1:12" ht="15" customHeight="1">
      <c r="A262" s="37"/>
      <c r="B262" s="37"/>
      <c r="C262" s="38"/>
      <c r="D262" s="38"/>
      <c r="E262" s="37"/>
      <c r="F262" s="37"/>
      <c r="G262" s="37"/>
      <c r="H262" s="37"/>
      <c r="I262" s="37"/>
      <c r="J262" s="37"/>
      <c r="K262" s="37"/>
    </row>
  </sheetData>
  <mergeCells count="137">
    <mergeCell ref="D245:K249"/>
    <mergeCell ref="F98:K99"/>
    <mergeCell ref="A193:K195"/>
    <mergeCell ref="A175:K178"/>
    <mergeCell ref="A229:F229"/>
    <mergeCell ref="H229:K229"/>
    <mergeCell ref="H234:K234"/>
    <mergeCell ref="H235:K235"/>
    <mergeCell ref="A234:F234"/>
    <mergeCell ref="A235:F235"/>
    <mergeCell ref="C220:G220"/>
    <mergeCell ref="C221:G221"/>
    <mergeCell ref="C222:G222"/>
    <mergeCell ref="C223:G223"/>
    <mergeCell ref="C224:G224"/>
    <mergeCell ref="D241:F243"/>
    <mergeCell ref="I240:K241"/>
    <mergeCell ref="C214:G214"/>
    <mergeCell ref="C215:G215"/>
    <mergeCell ref="C216:G216"/>
    <mergeCell ref="C217:G217"/>
    <mergeCell ref="C218:G218"/>
    <mergeCell ref="C219:G219"/>
    <mergeCell ref="C199:G199"/>
    <mergeCell ref="C211:G211"/>
    <mergeCell ref="C212:G212"/>
    <mergeCell ref="C213:G213"/>
    <mergeCell ref="C202:G202"/>
    <mergeCell ref="C203:G203"/>
    <mergeCell ref="C204:G204"/>
    <mergeCell ref="C205:G205"/>
    <mergeCell ref="C206:G206"/>
    <mergeCell ref="C207:G207"/>
    <mergeCell ref="C208:G208"/>
    <mergeCell ref="C209:G209"/>
    <mergeCell ref="C210:G210"/>
    <mergeCell ref="C200:G200"/>
    <mergeCell ref="C201:G201"/>
    <mergeCell ref="C155:G155"/>
    <mergeCell ref="J155:K155"/>
    <mergeCell ref="C156:G156"/>
    <mergeCell ref="J156:K156"/>
    <mergeCell ref="C157:G157"/>
    <mergeCell ref="J157:K157"/>
    <mergeCell ref="C158:G158"/>
    <mergeCell ref="J158:K158"/>
    <mergeCell ref="C159:G159"/>
    <mergeCell ref="J159:K159"/>
    <mergeCell ref="A171:K171"/>
    <mergeCell ref="A172:K172"/>
    <mergeCell ref="A173:K173"/>
    <mergeCell ref="A185:K185"/>
    <mergeCell ref="C197:G197"/>
    <mergeCell ref="C198:G198"/>
    <mergeCell ref="C150:G150"/>
    <mergeCell ref="J150:K150"/>
    <mergeCell ref="C151:G151"/>
    <mergeCell ref="J151:K151"/>
    <mergeCell ref="C152:G152"/>
    <mergeCell ref="J152:K152"/>
    <mergeCell ref="C153:G153"/>
    <mergeCell ref="J153:K153"/>
    <mergeCell ref="C154:G154"/>
    <mergeCell ref="J154:K154"/>
    <mergeCell ref="C145:G145"/>
    <mergeCell ref="J145:K145"/>
    <mergeCell ref="C146:G146"/>
    <mergeCell ref="J146:K146"/>
    <mergeCell ref="C147:G147"/>
    <mergeCell ref="J147:K147"/>
    <mergeCell ref="C148:G148"/>
    <mergeCell ref="J148:K148"/>
    <mergeCell ref="C149:G149"/>
    <mergeCell ref="J149:K149"/>
    <mergeCell ref="C140:G140"/>
    <mergeCell ref="J140:K140"/>
    <mergeCell ref="C141:G141"/>
    <mergeCell ref="J141:K141"/>
    <mergeCell ref="C142:G142"/>
    <mergeCell ref="J142:K142"/>
    <mergeCell ref="C143:G143"/>
    <mergeCell ref="J143:K143"/>
    <mergeCell ref="C144:G144"/>
    <mergeCell ref="J144:K144"/>
    <mergeCell ref="C91:G91"/>
    <mergeCell ref="A114:K114"/>
    <mergeCell ref="A115:K115"/>
    <mergeCell ref="A116:K116"/>
    <mergeCell ref="A118:K118"/>
    <mergeCell ref="D123:K123"/>
    <mergeCell ref="A126:K126"/>
    <mergeCell ref="D130:K130"/>
    <mergeCell ref="C139:G139"/>
    <mergeCell ref="J139:K139"/>
    <mergeCell ref="F96:K97"/>
    <mergeCell ref="F100:K102"/>
    <mergeCell ref="A135:K137"/>
    <mergeCell ref="C82:G82"/>
    <mergeCell ref="C83:G83"/>
    <mergeCell ref="C84:G84"/>
    <mergeCell ref="C85:G85"/>
    <mergeCell ref="C86:G86"/>
    <mergeCell ref="C87:G87"/>
    <mergeCell ref="C88:G88"/>
    <mergeCell ref="C89:G89"/>
    <mergeCell ref="C90:G90"/>
    <mergeCell ref="C73:G73"/>
    <mergeCell ref="C74:G74"/>
    <mergeCell ref="C75:G75"/>
    <mergeCell ref="C76:G76"/>
    <mergeCell ref="C77:G77"/>
    <mergeCell ref="C78:G78"/>
    <mergeCell ref="C79:G79"/>
    <mergeCell ref="C80:G80"/>
    <mergeCell ref="C81:G81"/>
    <mergeCell ref="C64:G64"/>
    <mergeCell ref="C65:G65"/>
    <mergeCell ref="C66:G66"/>
    <mergeCell ref="C67:G67"/>
    <mergeCell ref="C68:G68"/>
    <mergeCell ref="C69:G69"/>
    <mergeCell ref="C70:G70"/>
    <mergeCell ref="C71:G71"/>
    <mergeCell ref="C72:G72"/>
    <mergeCell ref="D1:K1"/>
    <mergeCell ref="D2:K2"/>
    <mergeCell ref="D3:K3"/>
    <mergeCell ref="A10:K10"/>
    <mergeCell ref="A43:K43"/>
    <mergeCell ref="A44:K44"/>
    <mergeCell ref="A45:K45"/>
    <mergeCell ref="D51:K51"/>
    <mergeCell ref="D58:K58"/>
    <mergeCell ref="D14:K15"/>
    <mergeCell ref="D17:K20"/>
    <mergeCell ref="D22:K27"/>
    <mergeCell ref="A54:K55"/>
  </mergeCells>
  <hyperlinks>
    <hyperlink ref="L239" location="Input!A72" display="balik ke input" xr:uid="{00000000-0004-0000-0E00-000000000000}"/>
    <hyperlink ref="L173" location="Input!A72" display="balik ke input" xr:uid="{00000000-0004-0000-0E00-000001000000}"/>
    <hyperlink ref="L116" location="Input!A72" display="balik ke input" xr:uid="{00000000-0004-0000-0E00-000002000000}"/>
    <hyperlink ref="L44" location="Input!A72" display="balik ke input" xr:uid="{00000000-0004-0000-0E00-000003000000}"/>
    <hyperlink ref="L6" location="Input!A72" display="balik ke input" xr:uid="{00000000-0004-0000-0E00-000004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rowBreaks count="4" manualBreakCount="4">
    <brk id="41" max="9" man="1"/>
    <brk id="112" max="9" man="1"/>
    <brk id="169" max="9" man="1"/>
    <brk id="236" max="9" man="1"/>
  </rowBreaks>
  <colBreaks count="1" manualBreakCount="1">
    <brk id="11" max="71"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00B0F0"/>
  </sheetPr>
  <dimension ref="A1:N299"/>
  <sheetViews>
    <sheetView view="pageBreakPreview" zoomScale="115" zoomScaleNormal="100" zoomScaleSheetLayoutView="115" workbookViewId="0">
      <selection activeCell="F8" sqref="F8"/>
    </sheetView>
  </sheetViews>
  <sheetFormatPr defaultColWidth="9" defaultRowHeight="14.25"/>
  <cols>
    <col min="1" max="1" width="4.53125" style="18" customWidth="1"/>
    <col min="2" max="2" width="5.796875" style="18" customWidth="1"/>
    <col min="3" max="3" width="2" style="18" customWidth="1"/>
    <col min="4" max="4" width="12.53125" style="18" customWidth="1"/>
    <col min="5" max="5" width="1.86328125" style="18" customWidth="1"/>
    <col min="6" max="6" width="16" style="18" customWidth="1"/>
    <col min="7" max="7" width="1.53125" style="18" customWidth="1"/>
    <col min="8" max="9" width="9.86328125" style="18" customWidth="1"/>
    <col min="10" max="10" width="10.796875" style="18" customWidth="1"/>
    <col min="11" max="11" width="12.86328125" style="18" customWidth="1"/>
    <col min="12" max="12" width="15" style="18" customWidth="1"/>
    <col min="13" max="258" width="9" style="18"/>
    <col min="259" max="259" width="9.86328125" style="18" customWidth="1"/>
    <col min="260" max="260" width="2" style="18" customWidth="1"/>
    <col min="261" max="261" width="12.53125" style="18" customWidth="1"/>
    <col min="262" max="262" width="1.86328125" style="18" customWidth="1"/>
    <col min="263" max="263" width="2" style="18" customWidth="1"/>
    <col min="264" max="264" width="16" style="18" customWidth="1"/>
    <col min="265" max="265" width="26" style="18" customWidth="1"/>
    <col min="266" max="266" width="9" style="18"/>
    <col min="267" max="267" width="9" style="18" customWidth="1"/>
    <col min="268" max="514" width="9" style="18"/>
    <col min="515" max="515" width="9.86328125" style="18" customWidth="1"/>
    <col min="516" max="516" width="2" style="18" customWidth="1"/>
    <col min="517" max="517" width="12.53125" style="18" customWidth="1"/>
    <col min="518" max="518" width="1.86328125" style="18" customWidth="1"/>
    <col min="519" max="519" width="2" style="18" customWidth="1"/>
    <col min="520" max="520" width="16" style="18" customWidth="1"/>
    <col min="521" max="521" width="26" style="18" customWidth="1"/>
    <col min="522" max="522" width="9" style="18"/>
    <col min="523" max="523" width="9" style="18" customWidth="1"/>
    <col min="524" max="770" width="9" style="18"/>
    <col min="771" max="771" width="9.86328125" style="18" customWidth="1"/>
    <col min="772" max="772" width="2" style="18" customWidth="1"/>
    <col min="773" max="773" width="12.53125" style="18" customWidth="1"/>
    <col min="774" max="774" width="1.86328125" style="18" customWidth="1"/>
    <col min="775" max="775" width="2" style="18" customWidth="1"/>
    <col min="776" max="776" width="16" style="18" customWidth="1"/>
    <col min="777" max="777" width="26" style="18" customWidth="1"/>
    <col min="778" max="778" width="9" style="18"/>
    <col min="779" max="779" width="9" style="18" customWidth="1"/>
    <col min="780" max="1026" width="9" style="18"/>
    <col min="1027" max="1027" width="9.86328125" style="18" customWidth="1"/>
    <col min="1028" max="1028" width="2" style="18" customWidth="1"/>
    <col min="1029" max="1029" width="12.53125" style="18" customWidth="1"/>
    <col min="1030" max="1030" width="1.86328125" style="18" customWidth="1"/>
    <col min="1031" max="1031" width="2" style="18" customWidth="1"/>
    <col min="1032" max="1032" width="16" style="18" customWidth="1"/>
    <col min="1033" max="1033" width="26" style="18" customWidth="1"/>
    <col min="1034" max="1034" width="9" style="18"/>
    <col min="1035" max="1035" width="9" style="18" customWidth="1"/>
    <col min="1036" max="1282" width="9" style="18"/>
    <col min="1283" max="1283" width="9.86328125" style="18" customWidth="1"/>
    <col min="1284" max="1284" width="2" style="18" customWidth="1"/>
    <col min="1285" max="1285" width="12.53125" style="18" customWidth="1"/>
    <col min="1286" max="1286" width="1.86328125" style="18" customWidth="1"/>
    <col min="1287" max="1287" width="2" style="18" customWidth="1"/>
    <col min="1288" max="1288" width="16" style="18" customWidth="1"/>
    <col min="1289" max="1289" width="26" style="18" customWidth="1"/>
    <col min="1290" max="1290" width="9" style="18"/>
    <col min="1291" max="1291" width="9" style="18" customWidth="1"/>
    <col min="1292" max="1538" width="9" style="18"/>
    <col min="1539" max="1539" width="9.86328125" style="18" customWidth="1"/>
    <col min="1540" max="1540" width="2" style="18" customWidth="1"/>
    <col min="1541" max="1541" width="12.53125" style="18" customWidth="1"/>
    <col min="1542" max="1542" width="1.86328125" style="18" customWidth="1"/>
    <col min="1543" max="1543" width="2" style="18" customWidth="1"/>
    <col min="1544" max="1544" width="16" style="18" customWidth="1"/>
    <col min="1545" max="1545" width="26" style="18" customWidth="1"/>
    <col min="1546" max="1546" width="9" style="18"/>
    <col min="1547" max="1547" width="9" style="18" customWidth="1"/>
    <col min="1548" max="1794" width="9" style="18"/>
    <col min="1795" max="1795" width="9.86328125" style="18" customWidth="1"/>
    <col min="1796" max="1796" width="2" style="18" customWidth="1"/>
    <col min="1797" max="1797" width="12.53125" style="18" customWidth="1"/>
    <col min="1798" max="1798" width="1.86328125" style="18" customWidth="1"/>
    <col min="1799" max="1799" width="2" style="18" customWidth="1"/>
    <col min="1800" max="1800" width="16" style="18" customWidth="1"/>
    <col min="1801" max="1801" width="26" style="18" customWidth="1"/>
    <col min="1802" max="1802" width="9" style="18"/>
    <col min="1803" max="1803" width="9" style="18" customWidth="1"/>
    <col min="1804" max="2050" width="9" style="18"/>
    <col min="2051" max="2051" width="9.86328125" style="18" customWidth="1"/>
    <col min="2052" max="2052" width="2" style="18" customWidth="1"/>
    <col min="2053" max="2053" width="12.53125" style="18" customWidth="1"/>
    <col min="2054" max="2054" width="1.86328125" style="18" customWidth="1"/>
    <col min="2055" max="2055" width="2" style="18" customWidth="1"/>
    <col min="2056" max="2056" width="16" style="18" customWidth="1"/>
    <col min="2057" max="2057" width="26" style="18" customWidth="1"/>
    <col min="2058" max="2058" width="9" style="18"/>
    <col min="2059" max="2059" width="9" style="18" customWidth="1"/>
    <col min="2060" max="2306" width="9" style="18"/>
    <col min="2307" max="2307" width="9.86328125" style="18" customWidth="1"/>
    <col min="2308" max="2308" width="2" style="18" customWidth="1"/>
    <col min="2309" max="2309" width="12.53125" style="18" customWidth="1"/>
    <col min="2310" max="2310" width="1.86328125" style="18" customWidth="1"/>
    <col min="2311" max="2311" width="2" style="18" customWidth="1"/>
    <col min="2312" max="2312" width="16" style="18" customWidth="1"/>
    <col min="2313" max="2313" width="26" style="18" customWidth="1"/>
    <col min="2314" max="2314" width="9" style="18"/>
    <col min="2315" max="2315" width="9" style="18" customWidth="1"/>
    <col min="2316" max="2562" width="9" style="18"/>
    <col min="2563" max="2563" width="9.86328125" style="18" customWidth="1"/>
    <col min="2564" max="2564" width="2" style="18" customWidth="1"/>
    <col min="2565" max="2565" width="12.53125" style="18" customWidth="1"/>
    <col min="2566" max="2566" width="1.86328125" style="18" customWidth="1"/>
    <col min="2567" max="2567" width="2" style="18" customWidth="1"/>
    <col min="2568" max="2568" width="16" style="18" customWidth="1"/>
    <col min="2569" max="2569" width="26" style="18" customWidth="1"/>
    <col min="2570" max="2570" width="9" style="18"/>
    <col min="2571" max="2571" width="9" style="18" customWidth="1"/>
    <col min="2572" max="2818" width="9" style="18"/>
    <col min="2819" max="2819" width="9.86328125" style="18" customWidth="1"/>
    <col min="2820" max="2820" width="2" style="18" customWidth="1"/>
    <col min="2821" max="2821" width="12.53125" style="18" customWidth="1"/>
    <col min="2822" max="2822" width="1.86328125" style="18" customWidth="1"/>
    <col min="2823" max="2823" width="2" style="18" customWidth="1"/>
    <col min="2824" max="2824" width="16" style="18" customWidth="1"/>
    <col min="2825" max="2825" width="26" style="18" customWidth="1"/>
    <col min="2826" max="2826" width="9" style="18"/>
    <col min="2827" max="2827" width="9" style="18" customWidth="1"/>
    <col min="2828" max="3074" width="9" style="18"/>
    <col min="3075" max="3075" width="9.86328125" style="18" customWidth="1"/>
    <col min="3076" max="3076" width="2" style="18" customWidth="1"/>
    <col min="3077" max="3077" width="12.53125" style="18" customWidth="1"/>
    <col min="3078" max="3078" width="1.86328125" style="18" customWidth="1"/>
    <col min="3079" max="3079" width="2" style="18" customWidth="1"/>
    <col min="3080" max="3080" width="16" style="18" customWidth="1"/>
    <col min="3081" max="3081" width="26" style="18" customWidth="1"/>
    <col min="3082" max="3082" width="9" style="18"/>
    <col min="3083" max="3083" width="9" style="18" customWidth="1"/>
    <col min="3084" max="3330" width="9" style="18"/>
    <col min="3331" max="3331" width="9.86328125" style="18" customWidth="1"/>
    <col min="3332" max="3332" width="2" style="18" customWidth="1"/>
    <col min="3333" max="3333" width="12.53125" style="18" customWidth="1"/>
    <col min="3334" max="3334" width="1.86328125" style="18" customWidth="1"/>
    <col min="3335" max="3335" width="2" style="18" customWidth="1"/>
    <col min="3336" max="3336" width="16" style="18" customWidth="1"/>
    <col min="3337" max="3337" width="26" style="18" customWidth="1"/>
    <col min="3338" max="3338" width="9" style="18"/>
    <col min="3339" max="3339" width="9" style="18" customWidth="1"/>
    <col min="3340" max="3586" width="9" style="18"/>
    <col min="3587" max="3587" width="9.86328125" style="18" customWidth="1"/>
    <col min="3588" max="3588" width="2" style="18" customWidth="1"/>
    <col min="3589" max="3589" width="12.53125" style="18" customWidth="1"/>
    <col min="3590" max="3590" width="1.86328125" style="18" customWidth="1"/>
    <col min="3591" max="3591" width="2" style="18" customWidth="1"/>
    <col min="3592" max="3592" width="16" style="18" customWidth="1"/>
    <col min="3593" max="3593" width="26" style="18" customWidth="1"/>
    <col min="3594" max="3594" width="9" style="18"/>
    <col min="3595" max="3595" width="9" style="18" customWidth="1"/>
    <col min="3596" max="3842" width="9" style="18"/>
    <col min="3843" max="3843" width="9.86328125" style="18" customWidth="1"/>
    <col min="3844" max="3844" width="2" style="18" customWidth="1"/>
    <col min="3845" max="3845" width="12.53125" style="18" customWidth="1"/>
    <col min="3846" max="3846" width="1.86328125" style="18" customWidth="1"/>
    <col min="3847" max="3847" width="2" style="18" customWidth="1"/>
    <col min="3848" max="3848" width="16" style="18" customWidth="1"/>
    <col min="3849" max="3849" width="26" style="18" customWidth="1"/>
    <col min="3850" max="3850" width="9" style="18"/>
    <col min="3851" max="3851" width="9" style="18" customWidth="1"/>
    <col min="3852" max="4098" width="9" style="18"/>
    <col min="4099" max="4099" width="9.86328125" style="18" customWidth="1"/>
    <col min="4100" max="4100" width="2" style="18" customWidth="1"/>
    <col min="4101" max="4101" width="12.53125" style="18" customWidth="1"/>
    <col min="4102" max="4102" width="1.86328125" style="18" customWidth="1"/>
    <col min="4103" max="4103" width="2" style="18" customWidth="1"/>
    <col min="4104" max="4104" width="16" style="18" customWidth="1"/>
    <col min="4105" max="4105" width="26" style="18" customWidth="1"/>
    <col min="4106" max="4106" width="9" style="18"/>
    <col min="4107" max="4107" width="9" style="18" customWidth="1"/>
    <col min="4108" max="4354" width="9" style="18"/>
    <col min="4355" max="4355" width="9.86328125" style="18" customWidth="1"/>
    <col min="4356" max="4356" width="2" style="18" customWidth="1"/>
    <col min="4357" max="4357" width="12.53125" style="18" customWidth="1"/>
    <col min="4358" max="4358" width="1.86328125" style="18" customWidth="1"/>
    <col min="4359" max="4359" width="2" style="18" customWidth="1"/>
    <col min="4360" max="4360" width="16" style="18" customWidth="1"/>
    <col min="4361" max="4361" width="26" style="18" customWidth="1"/>
    <col min="4362" max="4362" width="9" style="18"/>
    <col min="4363" max="4363" width="9" style="18" customWidth="1"/>
    <col min="4364" max="4610" width="9" style="18"/>
    <col min="4611" max="4611" width="9.86328125" style="18" customWidth="1"/>
    <col min="4612" max="4612" width="2" style="18" customWidth="1"/>
    <col min="4613" max="4613" width="12.53125" style="18" customWidth="1"/>
    <col min="4614" max="4614" width="1.86328125" style="18" customWidth="1"/>
    <col min="4615" max="4615" width="2" style="18" customWidth="1"/>
    <col min="4616" max="4616" width="16" style="18" customWidth="1"/>
    <col min="4617" max="4617" width="26" style="18" customWidth="1"/>
    <col min="4618" max="4618" width="9" style="18"/>
    <col min="4619" max="4619" width="9" style="18" customWidth="1"/>
    <col min="4620" max="4866" width="9" style="18"/>
    <col min="4867" max="4867" width="9.86328125" style="18" customWidth="1"/>
    <col min="4868" max="4868" width="2" style="18" customWidth="1"/>
    <col min="4869" max="4869" width="12.53125" style="18" customWidth="1"/>
    <col min="4870" max="4870" width="1.86328125" style="18" customWidth="1"/>
    <col min="4871" max="4871" width="2" style="18" customWidth="1"/>
    <col min="4872" max="4872" width="16" style="18" customWidth="1"/>
    <col min="4873" max="4873" width="26" style="18" customWidth="1"/>
    <col min="4874" max="4874" width="9" style="18"/>
    <col min="4875" max="4875" width="9" style="18" customWidth="1"/>
    <col min="4876" max="5122" width="9" style="18"/>
    <col min="5123" max="5123" width="9.86328125" style="18" customWidth="1"/>
    <col min="5124" max="5124" width="2" style="18" customWidth="1"/>
    <col min="5125" max="5125" width="12.53125" style="18" customWidth="1"/>
    <col min="5126" max="5126" width="1.86328125" style="18" customWidth="1"/>
    <col min="5127" max="5127" width="2" style="18" customWidth="1"/>
    <col min="5128" max="5128" width="16" style="18" customWidth="1"/>
    <col min="5129" max="5129" width="26" style="18" customWidth="1"/>
    <col min="5130" max="5130" width="9" style="18"/>
    <col min="5131" max="5131" width="9" style="18" customWidth="1"/>
    <col min="5132" max="5378" width="9" style="18"/>
    <col min="5379" max="5379" width="9.86328125" style="18" customWidth="1"/>
    <col min="5380" max="5380" width="2" style="18" customWidth="1"/>
    <col min="5381" max="5381" width="12.53125" style="18" customWidth="1"/>
    <col min="5382" max="5382" width="1.86328125" style="18" customWidth="1"/>
    <col min="5383" max="5383" width="2" style="18" customWidth="1"/>
    <col min="5384" max="5384" width="16" style="18" customWidth="1"/>
    <col min="5385" max="5385" width="26" style="18" customWidth="1"/>
    <col min="5386" max="5386" width="9" style="18"/>
    <col min="5387" max="5387" width="9" style="18" customWidth="1"/>
    <col min="5388" max="5634" width="9" style="18"/>
    <col min="5635" max="5635" width="9.86328125" style="18" customWidth="1"/>
    <col min="5636" max="5636" width="2" style="18" customWidth="1"/>
    <col min="5637" max="5637" width="12.53125" style="18" customWidth="1"/>
    <col min="5638" max="5638" width="1.86328125" style="18" customWidth="1"/>
    <col min="5639" max="5639" width="2" style="18" customWidth="1"/>
    <col min="5640" max="5640" width="16" style="18" customWidth="1"/>
    <col min="5641" max="5641" width="26" style="18" customWidth="1"/>
    <col min="5642" max="5642" width="9" style="18"/>
    <col min="5643" max="5643" width="9" style="18" customWidth="1"/>
    <col min="5644" max="5890" width="9" style="18"/>
    <col min="5891" max="5891" width="9.86328125" style="18" customWidth="1"/>
    <col min="5892" max="5892" width="2" style="18" customWidth="1"/>
    <col min="5893" max="5893" width="12.53125" style="18" customWidth="1"/>
    <col min="5894" max="5894" width="1.86328125" style="18" customWidth="1"/>
    <col min="5895" max="5895" width="2" style="18" customWidth="1"/>
    <col min="5896" max="5896" width="16" style="18" customWidth="1"/>
    <col min="5897" max="5897" width="26" style="18" customWidth="1"/>
    <col min="5898" max="5898" width="9" style="18"/>
    <col min="5899" max="5899" width="9" style="18" customWidth="1"/>
    <col min="5900" max="6146" width="9" style="18"/>
    <col min="6147" max="6147" width="9.86328125" style="18" customWidth="1"/>
    <col min="6148" max="6148" width="2" style="18" customWidth="1"/>
    <col min="6149" max="6149" width="12.53125" style="18" customWidth="1"/>
    <col min="6150" max="6150" width="1.86328125" style="18" customWidth="1"/>
    <col min="6151" max="6151" width="2" style="18" customWidth="1"/>
    <col min="6152" max="6152" width="16" style="18" customWidth="1"/>
    <col min="6153" max="6153" width="26" style="18" customWidth="1"/>
    <col min="6154" max="6154" width="9" style="18"/>
    <col min="6155" max="6155" width="9" style="18" customWidth="1"/>
    <col min="6156" max="6402" width="9" style="18"/>
    <col min="6403" max="6403" width="9.86328125" style="18" customWidth="1"/>
    <col min="6404" max="6404" width="2" style="18" customWidth="1"/>
    <col min="6405" max="6405" width="12.53125" style="18" customWidth="1"/>
    <col min="6406" max="6406" width="1.86328125" style="18" customWidth="1"/>
    <col min="6407" max="6407" width="2" style="18" customWidth="1"/>
    <col min="6408" max="6408" width="16" style="18" customWidth="1"/>
    <col min="6409" max="6409" width="26" style="18" customWidth="1"/>
    <col min="6410" max="6410" width="9" style="18"/>
    <col min="6411" max="6411" width="9" style="18" customWidth="1"/>
    <col min="6412" max="6658" width="9" style="18"/>
    <col min="6659" max="6659" width="9.86328125" style="18" customWidth="1"/>
    <col min="6660" max="6660" width="2" style="18" customWidth="1"/>
    <col min="6661" max="6661" width="12.53125" style="18" customWidth="1"/>
    <col min="6662" max="6662" width="1.86328125" style="18" customWidth="1"/>
    <col min="6663" max="6663" width="2" style="18" customWidth="1"/>
    <col min="6664" max="6664" width="16" style="18" customWidth="1"/>
    <col min="6665" max="6665" width="26" style="18" customWidth="1"/>
    <col min="6666" max="6666" width="9" style="18"/>
    <col min="6667" max="6667" width="9" style="18" customWidth="1"/>
    <col min="6668" max="6914" width="9" style="18"/>
    <col min="6915" max="6915" width="9.86328125" style="18" customWidth="1"/>
    <col min="6916" max="6916" width="2" style="18" customWidth="1"/>
    <col min="6917" max="6917" width="12.53125" style="18" customWidth="1"/>
    <col min="6918" max="6918" width="1.86328125" style="18" customWidth="1"/>
    <col min="6919" max="6919" width="2" style="18" customWidth="1"/>
    <col min="6920" max="6920" width="16" style="18" customWidth="1"/>
    <col min="6921" max="6921" width="26" style="18" customWidth="1"/>
    <col min="6922" max="6922" width="9" style="18"/>
    <col min="6923" max="6923" width="9" style="18" customWidth="1"/>
    <col min="6924" max="7170" width="9" style="18"/>
    <col min="7171" max="7171" width="9.86328125" style="18" customWidth="1"/>
    <col min="7172" max="7172" width="2" style="18" customWidth="1"/>
    <col min="7173" max="7173" width="12.53125" style="18" customWidth="1"/>
    <col min="7174" max="7174" width="1.86328125" style="18" customWidth="1"/>
    <col min="7175" max="7175" width="2" style="18" customWidth="1"/>
    <col min="7176" max="7176" width="16" style="18" customWidth="1"/>
    <col min="7177" max="7177" width="26" style="18" customWidth="1"/>
    <col min="7178" max="7178" width="9" style="18"/>
    <col min="7179" max="7179" width="9" style="18" customWidth="1"/>
    <col min="7180" max="7426" width="9" style="18"/>
    <col min="7427" max="7427" width="9.86328125" style="18" customWidth="1"/>
    <col min="7428" max="7428" width="2" style="18" customWidth="1"/>
    <col min="7429" max="7429" width="12.53125" style="18" customWidth="1"/>
    <col min="7430" max="7430" width="1.86328125" style="18" customWidth="1"/>
    <col min="7431" max="7431" width="2" style="18" customWidth="1"/>
    <col min="7432" max="7432" width="16" style="18" customWidth="1"/>
    <col min="7433" max="7433" width="26" style="18" customWidth="1"/>
    <col min="7434" max="7434" width="9" style="18"/>
    <col min="7435" max="7435" width="9" style="18" customWidth="1"/>
    <col min="7436" max="7682" width="9" style="18"/>
    <col min="7683" max="7683" width="9.86328125" style="18" customWidth="1"/>
    <col min="7684" max="7684" width="2" style="18" customWidth="1"/>
    <col min="7685" max="7685" width="12.53125" style="18" customWidth="1"/>
    <col min="7686" max="7686" width="1.86328125" style="18" customWidth="1"/>
    <col min="7687" max="7687" width="2" style="18" customWidth="1"/>
    <col min="7688" max="7688" width="16" style="18" customWidth="1"/>
    <col min="7689" max="7689" width="26" style="18" customWidth="1"/>
    <col min="7690" max="7690" width="9" style="18"/>
    <col min="7691" max="7691" width="9" style="18" customWidth="1"/>
    <col min="7692" max="7938" width="9" style="18"/>
    <col min="7939" max="7939" width="9.86328125" style="18" customWidth="1"/>
    <col min="7940" max="7940" width="2" style="18" customWidth="1"/>
    <col min="7941" max="7941" width="12.53125" style="18" customWidth="1"/>
    <col min="7942" max="7942" width="1.86328125" style="18" customWidth="1"/>
    <col min="7943" max="7943" width="2" style="18" customWidth="1"/>
    <col min="7944" max="7944" width="16" style="18" customWidth="1"/>
    <col min="7945" max="7945" width="26" style="18" customWidth="1"/>
    <col min="7946" max="7946" width="9" style="18"/>
    <col min="7947" max="7947" width="9" style="18" customWidth="1"/>
    <col min="7948" max="8194" width="9" style="18"/>
    <col min="8195" max="8195" width="9.86328125" style="18" customWidth="1"/>
    <col min="8196" max="8196" width="2" style="18" customWidth="1"/>
    <col min="8197" max="8197" width="12.53125" style="18" customWidth="1"/>
    <col min="8198" max="8198" width="1.86328125" style="18" customWidth="1"/>
    <col min="8199" max="8199" width="2" style="18" customWidth="1"/>
    <col min="8200" max="8200" width="16" style="18" customWidth="1"/>
    <col min="8201" max="8201" width="26" style="18" customWidth="1"/>
    <col min="8202" max="8202" width="9" style="18"/>
    <col min="8203" max="8203" width="9" style="18" customWidth="1"/>
    <col min="8204" max="8450" width="9" style="18"/>
    <col min="8451" max="8451" width="9.86328125" style="18" customWidth="1"/>
    <col min="8452" max="8452" width="2" style="18" customWidth="1"/>
    <col min="8453" max="8453" width="12.53125" style="18" customWidth="1"/>
    <col min="8454" max="8454" width="1.86328125" style="18" customWidth="1"/>
    <col min="8455" max="8455" width="2" style="18" customWidth="1"/>
    <col min="8456" max="8456" width="16" style="18" customWidth="1"/>
    <col min="8457" max="8457" width="26" style="18" customWidth="1"/>
    <col min="8458" max="8458" width="9" style="18"/>
    <col min="8459" max="8459" width="9" style="18" customWidth="1"/>
    <col min="8460" max="8706" width="9" style="18"/>
    <col min="8707" max="8707" width="9.86328125" style="18" customWidth="1"/>
    <col min="8708" max="8708" width="2" style="18" customWidth="1"/>
    <col min="8709" max="8709" width="12.53125" style="18" customWidth="1"/>
    <col min="8710" max="8710" width="1.86328125" style="18" customWidth="1"/>
    <col min="8711" max="8711" width="2" style="18" customWidth="1"/>
    <col min="8712" max="8712" width="16" style="18" customWidth="1"/>
    <col min="8713" max="8713" width="26" style="18" customWidth="1"/>
    <col min="8714" max="8714" width="9" style="18"/>
    <col min="8715" max="8715" width="9" style="18" customWidth="1"/>
    <col min="8716" max="8962" width="9" style="18"/>
    <col min="8963" max="8963" width="9.86328125" style="18" customWidth="1"/>
    <col min="8964" max="8964" width="2" style="18" customWidth="1"/>
    <col min="8965" max="8965" width="12.53125" style="18" customWidth="1"/>
    <col min="8966" max="8966" width="1.86328125" style="18" customWidth="1"/>
    <col min="8967" max="8967" width="2" style="18" customWidth="1"/>
    <col min="8968" max="8968" width="16" style="18" customWidth="1"/>
    <col min="8969" max="8969" width="26" style="18" customWidth="1"/>
    <col min="8970" max="8970" width="9" style="18"/>
    <col min="8971" max="8971" width="9" style="18" customWidth="1"/>
    <col min="8972" max="9218" width="9" style="18"/>
    <col min="9219" max="9219" width="9.86328125" style="18" customWidth="1"/>
    <col min="9220" max="9220" width="2" style="18" customWidth="1"/>
    <col min="9221" max="9221" width="12.53125" style="18" customWidth="1"/>
    <col min="9222" max="9222" width="1.86328125" style="18" customWidth="1"/>
    <col min="9223" max="9223" width="2" style="18" customWidth="1"/>
    <col min="9224" max="9224" width="16" style="18" customWidth="1"/>
    <col min="9225" max="9225" width="26" style="18" customWidth="1"/>
    <col min="9226" max="9226" width="9" style="18"/>
    <col min="9227" max="9227" width="9" style="18" customWidth="1"/>
    <col min="9228" max="9474" width="9" style="18"/>
    <col min="9475" max="9475" width="9.86328125" style="18" customWidth="1"/>
    <col min="9476" max="9476" width="2" style="18" customWidth="1"/>
    <col min="9477" max="9477" width="12.53125" style="18" customWidth="1"/>
    <col min="9478" max="9478" width="1.86328125" style="18" customWidth="1"/>
    <col min="9479" max="9479" width="2" style="18" customWidth="1"/>
    <col min="9480" max="9480" width="16" style="18" customWidth="1"/>
    <col min="9481" max="9481" width="26" style="18" customWidth="1"/>
    <col min="9482" max="9482" width="9" style="18"/>
    <col min="9483" max="9483" width="9" style="18" customWidth="1"/>
    <col min="9484" max="9730" width="9" style="18"/>
    <col min="9731" max="9731" width="9.86328125" style="18" customWidth="1"/>
    <col min="9732" max="9732" width="2" style="18" customWidth="1"/>
    <col min="9733" max="9733" width="12.53125" style="18" customWidth="1"/>
    <col min="9734" max="9734" width="1.86328125" style="18" customWidth="1"/>
    <col min="9735" max="9735" width="2" style="18" customWidth="1"/>
    <col min="9736" max="9736" width="16" style="18" customWidth="1"/>
    <col min="9737" max="9737" width="26" style="18" customWidth="1"/>
    <col min="9738" max="9738" width="9" style="18"/>
    <col min="9739" max="9739" width="9" style="18" customWidth="1"/>
    <col min="9740" max="9986" width="9" style="18"/>
    <col min="9987" max="9987" width="9.86328125" style="18" customWidth="1"/>
    <col min="9988" max="9988" width="2" style="18" customWidth="1"/>
    <col min="9989" max="9989" width="12.53125" style="18" customWidth="1"/>
    <col min="9990" max="9990" width="1.86328125" style="18" customWidth="1"/>
    <col min="9991" max="9991" width="2" style="18" customWidth="1"/>
    <col min="9992" max="9992" width="16" style="18" customWidth="1"/>
    <col min="9993" max="9993" width="26" style="18" customWidth="1"/>
    <col min="9994" max="9994" width="9" style="18"/>
    <col min="9995" max="9995" width="9" style="18" customWidth="1"/>
    <col min="9996" max="10242" width="9" style="18"/>
    <col min="10243" max="10243" width="9.86328125" style="18" customWidth="1"/>
    <col min="10244" max="10244" width="2" style="18" customWidth="1"/>
    <col min="10245" max="10245" width="12.53125" style="18" customWidth="1"/>
    <col min="10246" max="10246" width="1.86328125" style="18" customWidth="1"/>
    <col min="10247" max="10247" width="2" style="18" customWidth="1"/>
    <col min="10248" max="10248" width="16" style="18" customWidth="1"/>
    <col min="10249" max="10249" width="26" style="18" customWidth="1"/>
    <col min="10250" max="10250" width="9" style="18"/>
    <col min="10251" max="10251" width="9" style="18" customWidth="1"/>
    <col min="10252" max="10498" width="9" style="18"/>
    <col min="10499" max="10499" width="9.86328125" style="18" customWidth="1"/>
    <col min="10500" max="10500" width="2" style="18" customWidth="1"/>
    <col min="10501" max="10501" width="12.53125" style="18" customWidth="1"/>
    <col min="10502" max="10502" width="1.86328125" style="18" customWidth="1"/>
    <col min="10503" max="10503" width="2" style="18" customWidth="1"/>
    <col min="10504" max="10504" width="16" style="18" customWidth="1"/>
    <col min="10505" max="10505" width="26" style="18" customWidth="1"/>
    <col min="10506" max="10506" width="9" style="18"/>
    <col min="10507" max="10507" width="9" style="18" customWidth="1"/>
    <col min="10508" max="10754" width="9" style="18"/>
    <col min="10755" max="10755" width="9.86328125" style="18" customWidth="1"/>
    <col min="10756" max="10756" width="2" style="18" customWidth="1"/>
    <col min="10757" max="10757" width="12.53125" style="18" customWidth="1"/>
    <col min="10758" max="10758" width="1.86328125" style="18" customWidth="1"/>
    <col min="10759" max="10759" width="2" style="18" customWidth="1"/>
    <col min="10760" max="10760" width="16" style="18" customWidth="1"/>
    <col min="10761" max="10761" width="26" style="18" customWidth="1"/>
    <col min="10762" max="10762" width="9" style="18"/>
    <col min="10763" max="10763" width="9" style="18" customWidth="1"/>
    <col min="10764" max="11010" width="9" style="18"/>
    <col min="11011" max="11011" width="9.86328125" style="18" customWidth="1"/>
    <col min="11012" max="11012" width="2" style="18" customWidth="1"/>
    <col min="11013" max="11013" width="12.53125" style="18" customWidth="1"/>
    <col min="11014" max="11014" width="1.86328125" style="18" customWidth="1"/>
    <col min="11015" max="11015" width="2" style="18" customWidth="1"/>
    <col min="11016" max="11016" width="16" style="18" customWidth="1"/>
    <col min="11017" max="11017" width="26" style="18" customWidth="1"/>
    <col min="11018" max="11018" width="9" style="18"/>
    <col min="11019" max="11019" width="9" style="18" customWidth="1"/>
    <col min="11020" max="11266" width="9" style="18"/>
    <col min="11267" max="11267" width="9.86328125" style="18" customWidth="1"/>
    <col min="11268" max="11268" width="2" style="18" customWidth="1"/>
    <col min="11269" max="11269" width="12.53125" style="18" customWidth="1"/>
    <col min="11270" max="11270" width="1.86328125" style="18" customWidth="1"/>
    <col min="11271" max="11271" width="2" style="18" customWidth="1"/>
    <col min="11272" max="11272" width="16" style="18" customWidth="1"/>
    <col min="11273" max="11273" width="26" style="18" customWidth="1"/>
    <col min="11274" max="11274" width="9" style="18"/>
    <col min="11275" max="11275" width="9" style="18" customWidth="1"/>
    <col min="11276" max="11522" width="9" style="18"/>
    <col min="11523" max="11523" width="9.86328125" style="18" customWidth="1"/>
    <col min="11524" max="11524" width="2" style="18" customWidth="1"/>
    <col min="11525" max="11525" width="12.53125" style="18" customWidth="1"/>
    <col min="11526" max="11526" width="1.86328125" style="18" customWidth="1"/>
    <col min="11527" max="11527" width="2" style="18" customWidth="1"/>
    <col min="11528" max="11528" width="16" style="18" customWidth="1"/>
    <col min="11529" max="11529" width="26" style="18" customWidth="1"/>
    <col min="11530" max="11530" width="9" style="18"/>
    <col min="11531" max="11531" width="9" style="18" customWidth="1"/>
    <col min="11532" max="11778" width="9" style="18"/>
    <col min="11779" max="11779" width="9.86328125" style="18" customWidth="1"/>
    <col min="11780" max="11780" width="2" style="18" customWidth="1"/>
    <col min="11781" max="11781" width="12.53125" style="18" customWidth="1"/>
    <col min="11782" max="11782" width="1.86328125" style="18" customWidth="1"/>
    <col min="11783" max="11783" width="2" style="18" customWidth="1"/>
    <col min="11784" max="11784" width="16" style="18" customWidth="1"/>
    <col min="11785" max="11785" width="26" style="18" customWidth="1"/>
    <col min="11786" max="11786" width="9" style="18"/>
    <col min="11787" max="11787" width="9" style="18" customWidth="1"/>
    <col min="11788" max="12034" width="9" style="18"/>
    <col min="12035" max="12035" width="9.86328125" style="18" customWidth="1"/>
    <col min="12036" max="12036" width="2" style="18" customWidth="1"/>
    <col min="12037" max="12037" width="12.53125" style="18" customWidth="1"/>
    <col min="12038" max="12038" width="1.86328125" style="18" customWidth="1"/>
    <col min="12039" max="12039" width="2" style="18" customWidth="1"/>
    <col min="12040" max="12040" width="16" style="18" customWidth="1"/>
    <col min="12041" max="12041" width="26" style="18" customWidth="1"/>
    <col min="12042" max="12042" width="9" style="18"/>
    <col min="12043" max="12043" width="9" style="18" customWidth="1"/>
    <col min="12044" max="12290" width="9" style="18"/>
    <col min="12291" max="12291" width="9.86328125" style="18" customWidth="1"/>
    <col min="12292" max="12292" width="2" style="18" customWidth="1"/>
    <col min="12293" max="12293" width="12.53125" style="18" customWidth="1"/>
    <col min="12294" max="12294" width="1.86328125" style="18" customWidth="1"/>
    <col min="12295" max="12295" width="2" style="18" customWidth="1"/>
    <col min="12296" max="12296" width="16" style="18" customWidth="1"/>
    <col min="12297" max="12297" width="26" style="18" customWidth="1"/>
    <col min="12298" max="12298" width="9" style="18"/>
    <col min="12299" max="12299" width="9" style="18" customWidth="1"/>
    <col min="12300" max="12546" width="9" style="18"/>
    <col min="12547" max="12547" width="9.86328125" style="18" customWidth="1"/>
    <col min="12548" max="12548" width="2" style="18" customWidth="1"/>
    <col min="12549" max="12549" width="12.53125" style="18" customWidth="1"/>
    <col min="12550" max="12550" width="1.86328125" style="18" customWidth="1"/>
    <col min="12551" max="12551" width="2" style="18" customWidth="1"/>
    <col min="12552" max="12552" width="16" style="18" customWidth="1"/>
    <col min="12553" max="12553" width="26" style="18" customWidth="1"/>
    <col min="12554" max="12554" width="9" style="18"/>
    <col min="12555" max="12555" width="9" style="18" customWidth="1"/>
    <col min="12556" max="12802" width="9" style="18"/>
    <col min="12803" max="12803" width="9.86328125" style="18" customWidth="1"/>
    <col min="12804" max="12804" width="2" style="18" customWidth="1"/>
    <col min="12805" max="12805" width="12.53125" style="18" customWidth="1"/>
    <col min="12806" max="12806" width="1.86328125" style="18" customWidth="1"/>
    <col min="12807" max="12807" width="2" style="18" customWidth="1"/>
    <col min="12808" max="12808" width="16" style="18" customWidth="1"/>
    <col min="12809" max="12809" width="26" style="18" customWidth="1"/>
    <col min="12810" max="12810" width="9" style="18"/>
    <col min="12811" max="12811" width="9" style="18" customWidth="1"/>
    <col min="12812" max="13058" width="9" style="18"/>
    <col min="13059" max="13059" width="9.86328125" style="18" customWidth="1"/>
    <col min="13060" max="13060" width="2" style="18" customWidth="1"/>
    <col min="13061" max="13061" width="12.53125" style="18" customWidth="1"/>
    <col min="13062" max="13062" width="1.86328125" style="18" customWidth="1"/>
    <col min="13063" max="13063" width="2" style="18" customWidth="1"/>
    <col min="13064" max="13064" width="16" style="18" customWidth="1"/>
    <col min="13065" max="13065" width="26" style="18" customWidth="1"/>
    <col min="13066" max="13066" width="9" style="18"/>
    <col min="13067" max="13067" width="9" style="18" customWidth="1"/>
    <col min="13068" max="13314" width="9" style="18"/>
    <col min="13315" max="13315" width="9.86328125" style="18" customWidth="1"/>
    <col min="13316" max="13316" width="2" style="18" customWidth="1"/>
    <col min="13317" max="13317" width="12.53125" style="18" customWidth="1"/>
    <col min="13318" max="13318" width="1.86328125" style="18" customWidth="1"/>
    <col min="13319" max="13319" width="2" style="18" customWidth="1"/>
    <col min="13320" max="13320" width="16" style="18" customWidth="1"/>
    <col min="13321" max="13321" width="26" style="18" customWidth="1"/>
    <col min="13322" max="13322" width="9" style="18"/>
    <col min="13323" max="13323" width="9" style="18" customWidth="1"/>
    <col min="13324" max="13570" width="9" style="18"/>
    <col min="13571" max="13571" width="9.86328125" style="18" customWidth="1"/>
    <col min="13572" max="13572" width="2" style="18" customWidth="1"/>
    <col min="13573" max="13573" width="12.53125" style="18" customWidth="1"/>
    <col min="13574" max="13574" width="1.86328125" style="18" customWidth="1"/>
    <col min="13575" max="13575" width="2" style="18" customWidth="1"/>
    <col min="13576" max="13576" width="16" style="18" customWidth="1"/>
    <col min="13577" max="13577" width="26" style="18" customWidth="1"/>
    <col min="13578" max="13578" width="9" style="18"/>
    <col min="13579" max="13579" width="9" style="18" customWidth="1"/>
    <col min="13580" max="13826" width="9" style="18"/>
    <col min="13827" max="13827" width="9.86328125" style="18" customWidth="1"/>
    <col min="13828" max="13828" width="2" style="18" customWidth="1"/>
    <col min="13829" max="13829" width="12.53125" style="18" customWidth="1"/>
    <col min="13830" max="13830" width="1.86328125" style="18" customWidth="1"/>
    <col min="13831" max="13831" width="2" style="18" customWidth="1"/>
    <col min="13832" max="13832" width="16" style="18" customWidth="1"/>
    <col min="13833" max="13833" width="26" style="18" customWidth="1"/>
    <col min="13834" max="13834" width="9" style="18"/>
    <col min="13835" max="13835" width="9" style="18" customWidth="1"/>
    <col min="13836" max="14082" width="9" style="18"/>
    <col min="14083" max="14083" width="9.86328125" style="18" customWidth="1"/>
    <col min="14084" max="14084" width="2" style="18" customWidth="1"/>
    <col min="14085" max="14085" width="12.53125" style="18" customWidth="1"/>
    <col min="14086" max="14086" width="1.86328125" style="18" customWidth="1"/>
    <col min="14087" max="14087" width="2" style="18" customWidth="1"/>
    <col min="14088" max="14088" width="16" style="18" customWidth="1"/>
    <col min="14089" max="14089" width="26" style="18" customWidth="1"/>
    <col min="14090" max="14090" width="9" style="18"/>
    <col min="14091" max="14091" width="9" style="18" customWidth="1"/>
    <col min="14092" max="14338" width="9" style="18"/>
    <col min="14339" max="14339" width="9.86328125" style="18" customWidth="1"/>
    <col min="14340" max="14340" width="2" style="18" customWidth="1"/>
    <col min="14341" max="14341" width="12.53125" style="18" customWidth="1"/>
    <col min="14342" max="14342" width="1.86328125" style="18" customWidth="1"/>
    <col min="14343" max="14343" width="2" style="18" customWidth="1"/>
    <col min="14344" max="14344" width="16" style="18" customWidth="1"/>
    <col min="14345" max="14345" width="26" style="18" customWidth="1"/>
    <col min="14346" max="14346" width="9" style="18"/>
    <col min="14347" max="14347" width="9" style="18" customWidth="1"/>
    <col min="14348" max="14594" width="9" style="18"/>
    <col min="14595" max="14595" width="9.86328125" style="18" customWidth="1"/>
    <col min="14596" max="14596" width="2" style="18" customWidth="1"/>
    <col min="14597" max="14597" width="12.53125" style="18" customWidth="1"/>
    <col min="14598" max="14598" width="1.86328125" style="18" customWidth="1"/>
    <col min="14599" max="14599" width="2" style="18" customWidth="1"/>
    <col min="14600" max="14600" width="16" style="18" customWidth="1"/>
    <col min="14601" max="14601" width="26" style="18" customWidth="1"/>
    <col min="14602" max="14602" width="9" style="18"/>
    <col min="14603" max="14603" width="9" style="18" customWidth="1"/>
    <col min="14604" max="14850" width="9" style="18"/>
    <col min="14851" max="14851" width="9.86328125" style="18" customWidth="1"/>
    <col min="14852" max="14852" width="2" style="18" customWidth="1"/>
    <col min="14853" max="14853" width="12.53125" style="18" customWidth="1"/>
    <col min="14854" max="14854" width="1.86328125" style="18" customWidth="1"/>
    <col min="14855" max="14855" width="2" style="18" customWidth="1"/>
    <col min="14856" max="14856" width="16" style="18" customWidth="1"/>
    <col min="14857" max="14857" width="26" style="18" customWidth="1"/>
    <col min="14858" max="14858" width="9" style="18"/>
    <col min="14859" max="14859" width="9" style="18" customWidth="1"/>
    <col min="14860" max="15106" width="9" style="18"/>
    <col min="15107" max="15107" width="9.86328125" style="18" customWidth="1"/>
    <col min="15108" max="15108" width="2" style="18" customWidth="1"/>
    <col min="15109" max="15109" width="12.53125" style="18" customWidth="1"/>
    <col min="15110" max="15110" width="1.86328125" style="18" customWidth="1"/>
    <col min="15111" max="15111" width="2" style="18" customWidth="1"/>
    <col min="15112" max="15112" width="16" style="18" customWidth="1"/>
    <col min="15113" max="15113" width="26" style="18" customWidth="1"/>
    <col min="15114" max="15114" width="9" style="18"/>
    <col min="15115" max="15115" width="9" style="18" customWidth="1"/>
    <col min="15116" max="15362" width="9" style="18"/>
    <col min="15363" max="15363" width="9.86328125" style="18" customWidth="1"/>
    <col min="15364" max="15364" width="2" style="18" customWidth="1"/>
    <col min="15365" max="15365" width="12.53125" style="18" customWidth="1"/>
    <col min="15366" max="15366" width="1.86328125" style="18" customWidth="1"/>
    <col min="15367" max="15367" width="2" style="18" customWidth="1"/>
    <col min="15368" max="15368" width="16" style="18" customWidth="1"/>
    <col min="15369" max="15369" width="26" style="18" customWidth="1"/>
    <col min="15370" max="15370" width="9" style="18"/>
    <col min="15371" max="15371" width="9" style="18" customWidth="1"/>
    <col min="15372" max="15618" width="9" style="18"/>
    <col min="15619" max="15619" width="9.86328125" style="18" customWidth="1"/>
    <col min="15620" max="15620" width="2" style="18" customWidth="1"/>
    <col min="15621" max="15621" width="12.53125" style="18" customWidth="1"/>
    <col min="15622" max="15622" width="1.86328125" style="18" customWidth="1"/>
    <col min="15623" max="15623" width="2" style="18" customWidth="1"/>
    <col min="15624" max="15624" width="16" style="18" customWidth="1"/>
    <col min="15625" max="15625" width="26" style="18" customWidth="1"/>
    <col min="15626" max="15626" width="9" style="18"/>
    <col min="15627" max="15627" width="9" style="18" customWidth="1"/>
    <col min="15628" max="15874" width="9" style="18"/>
    <col min="15875" max="15875" width="9.86328125" style="18" customWidth="1"/>
    <col min="15876" max="15876" width="2" style="18" customWidth="1"/>
    <col min="15877" max="15877" width="12.53125" style="18" customWidth="1"/>
    <col min="15878" max="15878" width="1.86328125" style="18" customWidth="1"/>
    <col min="15879" max="15879" width="2" style="18" customWidth="1"/>
    <col min="15880" max="15880" width="16" style="18" customWidth="1"/>
    <col min="15881" max="15881" width="26" style="18" customWidth="1"/>
    <col min="15882" max="15882" width="9" style="18"/>
    <col min="15883" max="15883" width="9" style="18" customWidth="1"/>
    <col min="15884" max="16130" width="9" style="18"/>
    <col min="16131" max="16131" width="9.86328125" style="18" customWidth="1"/>
    <col min="16132" max="16132" width="2" style="18" customWidth="1"/>
    <col min="16133" max="16133" width="12.53125" style="18" customWidth="1"/>
    <col min="16134" max="16134" width="1.86328125" style="18" customWidth="1"/>
    <col min="16135" max="16135" width="2" style="18" customWidth="1"/>
    <col min="16136" max="16136" width="16" style="18" customWidth="1"/>
    <col min="16137" max="16137" width="26" style="18" customWidth="1"/>
    <col min="16138" max="16138" width="9" style="18"/>
    <col min="16139" max="16139" width="9" style="18" customWidth="1"/>
    <col min="16140" max="16384" width="9" style="18"/>
  </cols>
  <sheetData>
    <row r="1" spans="1:13" ht="17.25">
      <c r="D1" s="866" t="str">
        <f>UPPER(opd_pem)</f>
        <v>PEMERINTAH PROVINSI NUSA TENGGARA BARAT</v>
      </c>
      <c r="E1" s="866"/>
      <c r="F1" s="866"/>
      <c r="G1" s="866"/>
      <c r="H1" s="866"/>
      <c r="I1" s="866"/>
      <c r="J1" s="866"/>
      <c r="K1" s="866"/>
    </row>
    <row r="2" spans="1:13" ht="42" customHeight="1">
      <c r="D2" s="934" t="str">
        <f>UPPER(opd_nama)</f>
        <v>BADAN PENGELOLAAN KEUANGAN DAN ASET DAERAH</v>
      </c>
      <c r="E2" s="934"/>
      <c r="F2" s="934"/>
      <c r="G2" s="934"/>
      <c r="H2" s="934"/>
      <c r="I2" s="934"/>
      <c r="J2" s="934"/>
      <c r="K2" s="934"/>
    </row>
    <row r="3" spans="1:13" ht="17.850000000000001" customHeight="1">
      <c r="A3" s="24"/>
      <c r="B3" s="24"/>
      <c r="C3" s="24"/>
      <c r="D3" s="868" t="str">
        <f>opd_almt</f>
        <v>Jalan Pejanggik Nomor 14 Telp.( 0370 ) 627689, 625345 Fax: 627677</v>
      </c>
      <c r="E3" s="868"/>
      <c r="F3" s="868"/>
      <c r="G3" s="868"/>
      <c r="H3" s="868"/>
      <c r="I3" s="868"/>
      <c r="J3" s="868"/>
      <c r="K3" s="868"/>
    </row>
    <row r="4" spans="1:13" ht="5.25" customHeight="1"/>
    <row r="5" spans="1:13" ht="15" customHeight="1">
      <c r="A5" s="27"/>
      <c r="B5" s="27"/>
      <c r="C5" s="27"/>
      <c r="D5" s="27"/>
      <c r="E5" s="27"/>
      <c r="F5" s="27"/>
      <c r="G5" s="27"/>
      <c r="H5" s="27"/>
      <c r="I5" s="27"/>
      <c r="J5" s="27"/>
      <c r="K5" s="72" t="str">
        <f>ppk_lok&amp;", "&amp;Input!$H$90</f>
        <v>Mataram, 3 Agustus 2023</v>
      </c>
    </row>
    <row r="6" spans="1:13" ht="15" customHeight="1">
      <c r="A6" s="60" t="s">
        <v>237</v>
      </c>
      <c r="B6" s="60"/>
      <c r="C6" s="60" t="s">
        <v>2</v>
      </c>
      <c r="D6" s="60" t="str">
        <f>Input!D90</f>
        <v>027.1/02.PPK/BPKAD/2025</v>
      </c>
      <c r="E6" s="60"/>
      <c r="F6" s="60"/>
      <c r="G6" s="60"/>
      <c r="H6" s="60"/>
      <c r="I6" s="60"/>
      <c r="J6" s="60"/>
      <c r="K6" s="60"/>
      <c r="L6" s="71" t="s">
        <v>253</v>
      </c>
    </row>
    <row r="7" spans="1:13" ht="15" customHeight="1">
      <c r="A7" s="37" t="s">
        <v>267</v>
      </c>
      <c r="B7" s="37"/>
      <c r="C7" s="37" t="s">
        <v>2</v>
      </c>
      <c r="D7" s="796" t="s">
        <v>847</v>
      </c>
      <c r="E7" s="37"/>
      <c r="F7" s="37"/>
      <c r="G7" s="37"/>
      <c r="H7" s="37"/>
      <c r="I7" s="37"/>
      <c r="J7" s="37"/>
      <c r="K7" s="37"/>
    </row>
    <row r="8" spans="1:13" ht="15" customHeight="1">
      <c r="A8" s="37"/>
      <c r="B8" s="37"/>
      <c r="C8" s="37"/>
      <c r="D8" s="37"/>
      <c r="E8" s="37"/>
      <c r="F8" s="37"/>
      <c r="G8" s="37"/>
      <c r="H8" s="37"/>
      <c r="I8" s="37"/>
      <c r="J8" s="37"/>
      <c r="K8" s="37"/>
    </row>
    <row r="9" spans="1:13" ht="15" customHeight="1">
      <c r="A9" s="60" t="s">
        <v>848</v>
      </c>
      <c r="B9" s="60"/>
      <c r="C9" s="60"/>
      <c r="D9" s="60"/>
      <c r="E9" s="60"/>
      <c r="F9" s="60"/>
      <c r="G9" s="60"/>
      <c r="H9" s="60"/>
      <c r="I9" s="60"/>
      <c r="J9" s="60"/>
      <c r="K9" s="60"/>
    </row>
    <row r="10" spans="1:13" ht="15" customHeight="1">
      <c r="A10" s="1017" t="str">
        <f>bu_pim&amp;" "&amp;bu_nama</f>
        <v>Direktur PT. DARUSSALAM MEDIA GROUP</v>
      </c>
      <c r="B10" s="1017"/>
      <c r="C10" s="1017"/>
      <c r="D10" s="1017"/>
      <c r="E10" s="1017"/>
      <c r="F10" s="1017"/>
      <c r="G10" s="1017"/>
      <c r="H10" s="1017"/>
      <c r="I10" s="1017"/>
      <c r="J10" s="1017"/>
      <c r="K10" s="1017"/>
      <c r="L10" s="37"/>
      <c r="M10" s="37"/>
    </row>
    <row r="11" spans="1:13" ht="15" customHeight="1">
      <c r="A11" s="60" t="s">
        <v>849</v>
      </c>
      <c r="B11" s="60"/>
      <c r="C11" s="60"/>
      <c r="D11" s="60"/>
      <c r="E11" s="60"/>
      <c r="F11" s="60"/>
      <c r="G11" s="60"/>
      <c r="H11" s="60"/>
      <c r="I11" s="60"/>
      <c r="J11" s="60"/>
      <c r="K11" s="60"/>
    </row>
    <row r="12" spans="1:13" ht="15" customHeight="1">
      <c r="A12" s="60"/>
      <c r="B12" s="60"/>
      <c r="C12" s="60"/>
      <c r="D12" s="60" t="str">
        <f>bu_lok</f>
        <v>Mataram</v>
      </c>
      <c r="E12" s="60"/>
      <c r="F12" s="60"/>
      <c r="G12" s="60"/>
      <c r="H12" s="60"/>
      <c r="I12" s="60"/>
      <c r="J12" s="60"/>
      <c r="K12" s="60"/>
    </row>
    <row r="13" spans="1:13" ht="15" customHeight="1">
      <c r="A13" s="60"/>
      <c r="B13" s="60"/>
      <c r="C13" s="60"/>
      <c r="D13" s="60"/>
      <c r="E13" s="60"/>
      <c r="F13" s="60"/>
      <c r="G13" s="60"/>
      <c r="H13" s="60"/>
      <c r="I13" s="60"/>
      <c r="J13" s="60"/>
      <c r="K13" s="60"/>
    </row>
    <row r="14" spans="1:13" ht="15" customHeight="1">
      <c r="A14" s="60" t="s">
        <v>269</v>
      </c>
      <c r="B14" s="60"/>
      <c r="C14" s="60" t="s">
        <v>2</v>
      </c>
      <c r="D14" s="1250" t="str">
        <f>"Penunjukan Penyedia Untuk Pelaksanaan Paket Pekerjaan "&amp;paket</f>
        <v>Penunjukan Penyedia Untuk Pelaksanaan Paket Pekerjaan Belanja Pemeliharaan Bangunan Gedung-Bangunan Gedung Tempat Kerja-Bangunan Gedung Kantor-Pemeliharaan Gedung Bertingkat</v>
      </c>
      <c r="E14" s="1250"/>
      <c r="F14" s="1250"/>
      <c r="G14" s="1250"/>
      <c r="H14" s="1250"/>
      <c r="I14" s="1250"/>
      <c r="J14" s="1250"/>
      <c r="K14" s="1250"/>
    </row>
    <row r="15" spans="1:13" ht="15" customHeight="1">
      <c r="A15" s="60"/>
      <c r="B15" s="60"/>
      <c r="C15" s="60"/>
      <c r="D15" s="1251"/>
      <c r="E15" s="1251"/>
      <c r="F15" s="1251"/>
      <c r="G15" s="1251"/>
      <c r="H15" s="1251"/>
      <c r="I15" s="1251"/>
      <c r="J15" s="1251"/>
      <c r="K15" s="1251"/>
    </row>
    <row r="16" spans="1:13" ht="15" customHeight="1"/>
    <row r="17" spans="1:12" ht="15" customHeight="1">
      <c r="D17" s="1021" t="str">
        <f>"Dengan ini kami beritahukan bahwa penawaran Saudara nomor "&amp;Input!$D$82&amp;" tanggal "&amp;Input!$H$82&amp;" untuk paket pekerjaan "&amp;paket&amp;" dengan hasil negosiasi harga sebesar Rp. "&amp;TEXT(bu_hn,tiko1)&amp;" ("&amp;bu_hn2&amp;") kami nyatakan diterima/disetujui."</f>
        <v>Dengan ini kami beritahukan bahwa penawaran Saudara nomor 02/DMG/VI/2025 tanggal 1 Agustus 2023 untuk paket pekerjaan Belanja Pemeliharaan Bangunan Gedung-Bangunan Gedung Tempat Kerja-Bangunan Gedung Kantor-Pemeliharaan Gedung Bertingkat dengan hasil negosiasi harga sebesar Rp. 69,862,000 (Enam Puluh Sembilan Juta Delapan Ratus Enam Puluh Dua Ribu Rupiah) kami nyatakan diterima/disetujui.</v>
      </c>
      <c r="E17" s="1021"/>
      <c r="F17" s="1021"/>
      <c r="G17" s="1021"/>
      <c r="H17" s="1021"/>
      <c r="I17" s="1021"/>
      <c r="J17" s="1021"/>
      <c r="K17" s="1021"/>
    </row>
    <row r="18" spans="1:12" ht="15" customHeight="1">
      <c r="D18" s="1021"/>
      <c r="E18" s="1021"/>
      <c r="F18" s="1021"/>
      <c r="G18" s="1021"/>
      <c r="H18" s="1021"/>
      <c r="I18" s="1021"/>
      <c r="J18" s="1021"/>
      <c r="K18" s="1021"/>
    </row>
    <row r="19" spans="1:12" ht="15" customHeight="1">
      <c r="D19" s="1021"/>
      <c r="E19" s="1021"/>
      <c r="F19" s="1021"/>
      <c r="G19" s="1021"/>
      <c r="H19" s="1021"/>
      <c r="I19" s="1021"/>
      <c r="J19" s="1021"/>
      <c r="K19" s="1021"/>
    </row>
    <row r="20" spans="1:12" ht="15" customHeight="1">
      <c r="D20" s="1021"/>
      <c r="E20" s="1021"/>
      <c r="F20" s="1021"/>
      <c r="G20" s="1021"/>
      <c r="H20" s="1021"/>
      <c r="I20" s="1021"/>
      <c r="J20" s="1021"/>
      <c r="K20" s="1021"/>
    </row>
    <row r="21" spans="1:12" ht="15" customHeight="1">
      <c r="C21" s="43"/>
      <c r="D21" s="43"/>
      <c r="H21" s="44"/>
      <c r="I21" s="44"/>
      <c r="J21" s="53"/>
      <c r="K21" s="53"/>
    </row>
    <row r="22" spans="1:12" ht="15" customHeight="1">
      <c r="C22" s="64"/>
      <c r="D22" s="1021" t="s">
        <v>1158</v>
      </c>
      <c r="E22" s="1021"/>
      <c r="F22" s="1021"/>
      <c r="G22" s="1021"/>
      <c r="H22" s="1021"/>
      <c r="I22" s="1021"/>
      <c r="J22" s="1021"/>
      <c r="K22" s="1021"/>
    </row>
    <row r="23" spans="1:12" ht="15" customHeight="1">
      <c r="C23" s="64"/>
      <c r="D23" s="1021"/>
      <c r="E23" s="1021"/>
      <c r="F23" s="1021"/>
      <c r="G23" s="1021"/>
      <c r="H23" s="1021"/>
      <c r="I23" s="1021"/>
      <c r="J23" s="1021"/>
      <c r="K23" s="1021"/>
    </row>
    <row r="24" spans="1:12" ht="15" customHeight="1">
      <c r="C24" s="64"/>
      <c r="D24" s="1021"/>
      <c r="E24" s="1021"/>
      <c r="F24" s="1021"/>
      <c r="G24" s="1021"/>
      <c r="H24" s="1021"/>
      <c r="I24" s="1021"/>
      <c r="J24" s="1021"/>
      <c r="K24" s="1021"/>
    </row>
    <row r="25" spans="1:12" ht="15" customHeight="1">
      <c r="C25" s="64"/>
      <c r="D25" s="1021"/>
      <c r="E25" s="1021"/>
      <c r="F25" s="1021"/>
      <c r="G25" s="1021"/>
      <c r="H25" s="1021"/>
      <c r="I25" s="1021"/>
      <c r="J25" s="1021"/>
      <c r="K25" s="1021"/>
    </row>
    <row r="26" spans="1:12" ht="15" customHeight="1">
      <c r="C26" s="64"/>
      <c r="D26" s="1021"/>
      <c r="E26" s="1021"/>
      <c r="F26" s="1021"/>
      <c r="G26" s="1021"/>
      <c r="H26" s="1021"/>
      <c r="I26" s="1021"/>
      <c r="J26" s="1021"/>
      <c r="K26" s="1021"/>
    </row>
    <row r="27" spans="1:12" ht="15" customHeight="1">
      <c r="A27" s="64"/>
      <c r="B27" s="64"/>
      <c r="C27" s="64"/>
      <c r="D27" s="1021"/>
      <c r="E27" s="1021"/>
      <c r="F27" s="1021"/>
      <c r="G27" s="1021"/>
      <c r="H27" s="1021"/>
      <c r="I27" s="1021"/>
      <c r="J27" s="1021"/>
      <c r="K27" s="1021"/>
    </row>
    <row r="28" spans="1:12" ht="15" customHeight="1">
      <c r="C28" s="43"/>
      <c r="D28" s="43"/>
      <c r="H28" s="54"/>
      <c r="I28" s="54"/>
      <c r="J28" s="53"/>
      <c r="K28" s="53"/>
    </row>
    <row r="29" spans="1:12" ht="15" customHeight="1">
      <c r="C29" s="43"/>
      <c r="D29" s="43"/>
      <c r="I29" s="67" t="str">
        <f>ppk_jab</f>
        <v>Pejabat Pembuat Komitmen</v>
      </c>
      <c r="J29" s="67"/>
      <c r="K29" s="53"/>
      <c r="L29" s="53"/>
    </row>
    <row r="30" spans="1:12" ht="15" customHeight="1">
      <c r="C30" s="43"/>
      <c r="D30" s="43"/>
      <c r="I30" s="54"/>
      <c r="J30" s="54"/>
      <c r="K30" s="53"/>
      <c r="L30" s="53"/>
    </row>
    <row r="31" spans="1:12" ht="15" customHeight="1">
      <c r="C31" s="43"/>
      <c r="D31" s="43"/>
      <c r="I31" s="44"/>
      <c r="J31" s="44"/>
      <c r="K31" s="53"/>
      <c r="L31" s="53"/>
    </row>
    <row r="32" spans="1:12" ht="15" customHeight="1">
      <c r="C32" s="43"/>
      <c r="D32" s="43"/>
      <c r="I32" s="44"/>
      <c r="J32" s="44"/>
      <c r="K32" s="53"/>
      <c r="L32" s="53"/>
    </row>
    <row r="33" spans="1:14" ht="15" customHeight="1">
      <c r="C33" s="43"/>
      <c r="D33" s="43"/>
      <c r="I33" s="55" t="str">
        <f>ppk_nama</f>
        <v>Ika Kurnia Mustika, ST, MT</v>
      </c>
      <c r="J33" s="55"/>
      <c r="K33" s="53"/>
      <c r="L33" s="53"/>
    </row>
    <row r="34" spans="1:14" ht="15" customHeight="1">
      <c r="C34" s="43"/>
      <c r="D34" s="43"/>
      <c r="I34" s="44" t="str">
        <f>"NIP. "&amp;ppk_nip</f>
        <v>NIP. 19791117 200901 1 006</v>
      </c>
      <c r="J34" s="44"/>
      <c r="K34" s="53"/>
      <c r="L34" s="53"/>
    </row>
    <row r="35" spans="1:14" ht="15" customHeight="1">
      <c r="C35" s="43"/>
      <c r="D35" s="43"/>
      <c r="H35" s="44"/>
      <c r="I35" s="44"/>
      <c r="J35" s="53"/>
      <c r="K35" s="53"/>
    </row>
    <row r="36" spans="1:14" ht="15" customHeight="1">
      <c r="A36" s="37" t="s">
        <v>265</v>
      </c>
      <c r="B36" s="37"/>
      <c r="C36" s="38"/>
      <c r="D36" s="38"/>
      <c r="E36" s="37"/>
      <c r="F36" s="37"/>
      <c r="G36" s="37"/>
      <c r="H36" s="37"/>
      <c r="I36" s="37"/>
      <c r="J36" s="37"/>
      <c r="K36" s="37"/>
    </row>
    <row r="37" spans="1:14" ht="15" customHeight="1">
      <c r="A37" s="37" t="str">
        <f>"1. "&amp;pa_jab&amp;" di "&amp;pa_lok&amp;";"</f>
        <v>1. Kepala Badan Pengelolaan Keuangan dan Aset Daerah di Mataram;</v>
      </c>
      <c r="B37" s="37"/>
      <c r="C37" s="38"/>
      <c r="D37" s="38"/>
      <c r="E37" s="37"/>
      <c r="F37" s="37"/>
      <c r="G37" s="37"/>
      <c r="H37" s="39"/>
      <c r="I37" s="39"/>
      <c r="J37" s="37"/>
      <c r="K37" s="37"/>
    </row>
    <row r="38" spans="1:14" ht="15" customHeight="1">
      <c r="A38" s="37" t="str">
        <f>"2. "&amp;apip&amp;" di "&amp;apip_lok&amp;";"</f>
        <v>2. Inspektur Provinsi NTB di Mataram;</v>
      </c>
      <c r="B38" s="37"/>
      <c r="C38" s="38"/>
      <c r="D38" s="38"/>
      <c r="E38" s="37"/>
      <c r="F38" s="37"/>
      <c r="G38" s="37"/>
      <c r="H38" s="39"/>
      <c r="I38" s="39"/>
      <c r="J38" s="37"/>
      <c r="K38" s="37"/>
    </row>
    <row r="39" spans="1:14" ht="15" customHeight="1">
      <c r="A39" s="37" t="str">
        <f>"3. "&amp;pokja&amp;" Pada "&amp;ukpbj&amp;" di "&amp;pp_lok&amp;";"</f>
        <v>3. Pejabat Pengadaan Pada Badan Pengelolaan Keuangan dan Aset Daerah di Mataram;</v>
      </c>
      <c r="B39" s="37"/>
      <c r="C39" s="38"/>
      <c r="D39" s="38"/>
      <c r="E39" s="37"/>
      <c r="F39" s="37"/>
      <c r="G39" s="37"/>
      <c r="H39" s="39"/>
      <c r="I39" s="39"/>
      <c r="J39" s="37"/>
      <c r="K39" s="37"/>
    </row>
    <row r="40" spans="1:14" ht="15" customHeight="1">
      <c r="A40" s="37" t="s">
        <v>1136</v>
      </c>
      <c r="B40" s="37"/>
      <c r="C40" s="38"/>
      <c r="D40" s="38"/>
      <c r="E40" s="37"/>
      <c r="F40" s="37"/>
      <c r="G40" s="37"/>
      <c r="H40" s="37"/>
      <c r="I40" s="37"/>
      <c r="J40" s="37"/>
      <c r="K40" s="37"/>
    </row>
    <row r="41" spans="1:14" ht="5.25" customHeight="1">
      <c r="A41" s="60"/>
      <c r="B41" s="60"/>
      <c r="C41" s="60"/>
      <c r="D41" s="60"/>
      <c r="E41" s="60"/>
      <c r="F41" s="60"/>
      <c r="G41" s="60"/>
      <c r="H41" s="60"/>
      <c r="I41" s="60"/>
      <c r="J41" s="60"/>
      <c r="K41" s="60"/>
    </row>
    <row r="42" spans="1:14" ht="17.850000000000001" customHeight="1">
      <c r="A42" s="869" t="s">
        <v>1159</v>
      </c>
      <c r="B42" s="869"/>
      <c r="C42" s="869"/>
      <c r="D42" s="869"/>
      <c r="E42" s="869"/>
      <c r="F42" s="869"/>
      <c r="G42" s="869"/>
      <c r="H42" s="869"/>
      <c r="I42" s="869"/>
      <c r="J42" s="869"/>
      <c r="K42" s="869"/>
      <c r="L42" s="70"/>
      <c r="M42" s="69"/>
      <c r="N42" s="70"/>
    </row>
    <row r="43" spans="1:14" ht="15" customHeight="1">
      <c r="A43" s="870" t="str">
        <f>"Nomor: "&amp;Input!$D$96</f>
        <v>Nomor: 027/BASL/A/VIII/44/2023</v>
      </c>
      <c r="B43" s="870"/>
      <c r="C43" s="870"/>
      <c r="D43" s="870"/>
      <c r="E43" s="870"/>
      <c r="F43" s="870"/>
      <c r="G43" s="870"/>
      <c r="H43" s="870"/>
      <c r="I43" s="870"/>
      <c r="J43" s="870"/>
      <c r="K43" s="870"/>
      <c r="L43" s="71" t="s">
        <v>253</v>
      </c>
      <c r="M43" s="69"/>
      <c r="N43" s="58"/>
    </row>
    <row r="44" spans="1:14" customFormat="1" ht="5.25" customHeight="1">
      <c r="A44" s="59"/>
      <c r="B44" s="59"/>
      <c r="C44" s="59"/>
      <c r="D44" s="59"/>
      <c r="E44" s="59"/>
      <c r="F44" s="59"/>
      <c r="G44" s="59"/>
      <c r="H44" s="59"/>
      <c r="I44" s="59"/>
      <c r="J44" s="59"/>
      <c r="K44" s="59"/>
      <c r="L44" s="59"/>
      <c r="M44" s="69"/>
      <c r="N44" s="59"/>
    </row>
    <row r="45" spans="1:14" ht="15" customHeight="1">
      <c r="A45" s="884" t="str">
        <f>"Pada hari ini, "&amp;Input!$E$96&amp;", tanggal "&amp;Input!$H$96&amp;", kami yang bertandatangan di bawah ini:"</f>
        <v>Pada hari ini, Kamis, tanggal 3 Agustus 2023, kami yang bertandatangan di bawah ini:</v>
      </c>
      <c r="B45" s="884"/>
      <c r="C45" s="884"/>
      <c r="D45" s="884"/>
      <c r="E45" s="884"/>
      <c r="F45" s="884"/>
      <c r="G45" s="884"/>
      <c r="H45" s="884"/>
      <c r="I45" s="884"/>
      <c r="J45" s="884"/>
      <c r="K45" s="884"/>
    </row>
    <row r="46" spans="1:14" ht="5.25" customHeight="1">
      <c r="A46" s="60"/>
      <c r="B46" s="60"/>
      <c r="C46" s="27"/>
      <c r="D46" s="27"/>
      <c r="E46" s="27"/>
      <c r="F46" s="27"/>
      <c r="G46" s="27"/>
      <c r="H46" s="27"/>
      <c r="I46" s="27"/>
      <c r="J46" s="27"/>
      <c r="K46" s="72"/>
    </row>
    <row r="47" spans="1:14" ht="15" customHeight="1">
      <c r="A47" s="60" t="s">
        <v>37</v>
      </c>
      <c r="B47" s="60"/>
      <c r="C47" s="61" t="s">
        <v>2</v>
      </c>
      <c r="D47" s="60" t="str">
        <f>ppk_nama</f>
        <v>Ika Kurnia Mustika, ST, MT</v>
      </c>
      <c r="E47" s="60"/>
      <c r="F47" s="60"/>
      <c r="G47" s="60"/>
      <c r="H47" s="60"/>
      <c r="I47" s="60"/>
      <c r="J47" s="60"/>
      <c r="K47" s="72"/>
    </row>
    <row r="48" spans="1:14" ht="15" customHeight="1">
      <c r="A48" s="60" t="s">
        <v>41</v>
      </c>
      <c r="B48" s="60"/>
      <c r="C48" s="61" t="s">
        <v>2</v>
      </c>
      <c r="D48" s="60" t="str">
        <f>ppk_nip</f>
        <v>19791117 200901 1 006</v>
      </c>
      <c r="E48" s="60"/>
      <c r="F48" s="60"/>
      <c r="G48" s="60"/>
      <c r="H48" s="60"/>
      <c r="I48" s="60"/>
      <c r="J48" s="60"/>
      <c r="K48" s="72"/>
    </row>
    <row r="49" spans="1:11" ht="15" customHeight="1">
      <c r="A49" s="60" t="s">
        <v>50</v>
      </c>
      <c r="B49" s="60"/>
      <c r="C49" s="61" t="s">
        <v>2</v>
      </c>
      <c r="D49" s="60" t="str">
        <f>ppk_jab</f>
        <v>Pejabat Pembuat Komitmen</v>
      </c>
      <c r="E49" s="60"/>
      <c r="F49" s="60"/>
      <c r="G49" s="60"/>
      <c r="H49" s="60"/>
      <c r="I49" s="60"/>
      <c r="J49" s="60"/>
      <c r="K49" s="72"/>
    </row>
    <row r="50" spans="1:11" ht="15" customHeight="1">
      <c r="A50" s="60" t="s">
        <v>190</v>
      </c>
      <c r="B50" s="60"/>
      <c r="C50" s="61" t="s">
        <v>2</v>
      </c>
      <c r="D50" s="884" t="str">
        <f>opd_almt</f>
        <v>Jalan Pejanggik Nomor 14 Telp.( 0370 ) 627689, 625345 Fax: 627677</v>
      </c>
      <c r="E50" s="884"/>
      <c r="F50" s="884"/>
      <c r="G50" s="884"/>
      <c r="H50" s="884"/>
      <c r="I50" s="884"/>
      <c r="J50" s="884"/>
      <c r="K50" s="884"/>
    </row>
    <row r="51" spans="1:11" ht="5.25" customHeight="1">
      <c r="A51" s="60"/>
      <c r="B51" s="60"/>
      <c r="C51" s="60"/>
      <c r="D51" s="60"/>
      <c r="E51" s="60"/>
      <c r="F51" s="60"/>
      <c r="G51" s="60"/>
      <c r="H51" s="60"/>
      <c r="I51" s="60"/>
      <c r="J51" s="60"/>
      <c r="K51" s="72"/>
    </row>
    <row r="52" spans="1:11" ht="15" customHeight="1">
      <c r="A52" s="60" t="str">
        <f>"yang bertindak untuk dan atas nama "&amp;opd_nama&amp;";"</f>
        <v>yang bertindak untuk dan atas nama Badan Pengelolaan Keuangan dan Aset Daerah;</v>
      </c>
      <c r="B52" s="60"/>
      <c r="C52" s="60"/>
      <c r="D52" s="60"/>
      <c r="E52" s="60"/>
      <c r="F52" s="60"/>
      <c r="G52" s="60"/>
      <c r="H52" s="60"/>
      <c r="I52" s="60"/>
      <c r="J52" s="60"/>
      <c r="K52" s="72"/>
    </row>
    <row r="53" spans="1:11" ht="15" customHeight="1">
      <c r="A53" s="884" t="s">
        <v>1151</v>
      </c>
      <c r="B53" s="884"/>
      <c r="C53" s="884"/>
      <c r="D53" s="884"/>
      <c r="E53" s="884"/>
      <c r="F53" s="884"/>
      <c r="G53" s="884"/>
      <c r="H53" s="884"/>
      <c r="I53" s="884"/>
      <c r="J53" s="884"/>
      <c r="K53" s="884"/>
    </row>
    <row r="54" spans="1:11" ht="5.25" customHeight="1">
      <c r="A54" s="60"/>
      <c r="B54" s="60"/>
      <c r="C54" s="27"/>
      <c r="D54" s="27"/>
      <c r="E54" s="27"/>
      <c r="F54" s="27"/>
      <c r="G54" s="27"/>
      <c r="H54" s="27"/>
      <c r="I54" s="27"/>
      <c r="J54" s="27"/>
      <c r="K54" s="72"/>
    </row>
    <row r="55" spans="1:11" ht="15" customHeight="1">
      <c r="A55" s="60" t="s">
        <v>37</v>
      </c>
      <c r="B55" s="60"/>
      <c r="C55" s="61" t="s">
        <v>2</v>
      </c>
      <c r="D55" s="60" t="str">
        <f>bu_pimn</f>
        <v>Saripudin</v>
      </c>
      <c r="E55" s="27"/>
      <c r="F55" s="27"/>
      <c r="G55" s="27"/>
      <c r="H55" s="27"/>
      <c r="I55" s="27"/>
      <c r="J55" s="27"/>
      <c r="K55" s="72"/>
    </row>
    <row r="56" spans="1:11" ht="15" customHeight="1">
      <c r="A56" s="60" t="s">
        <v>50</v>
      </c>
      <c r="B56" s="60"/>
      <c r="C56" s="61" t="s">
        <v>2</v>
      </c>
      <c r="D56" s="60" t="str">
        <f>bu_pim</f>
        <v>Direktur</v>
      </c>
      <c r="E56" s="60"/>
      <c r="F56" s="60"/>
      <c r="G56" s="60"/>
      <c r="H56" s="60"/>
      <c r="I56" s="60"/>
      <c r="J56" s="60"/>
      <c r="K56" s="72"/>
    </row>
    <row r="57" spans="1:11" ht="15" customHeight="1">
      <c r="A57" s="60" t="s">
        <v>190</v>
      </c>
      <c r="B57" s="60"/>
      <c r="C57" s="61" t="s">
        <v>2</v>
      </c>
      <c r="D57" s="884" t="str">
        <f>bu_almt</f>
        <v>JL Meninting 13 No.. 22C BTN Kekalik, Kel. Pagesangan Barat, Kota Mataram, Provinsi Nusa Tenggara Barat</v>
      </c>
      <c r="E57" s="884"/>
      <c r="F57" s="884"/>
      <c r="G57" s="884"/>
      <c r="H57" s="884"/>
      <c r="I57" s="884"/>
      <c r="J57" s="884"/>
      <c r="K57" s="884"/>
    </row>
    <row r="58" spans="1:11" ht="5.25" customHeight="1">
      <c r="A58" s="60"/>
      <c r="B58" s="60"/>
      <c r="C58" s="60"/>
      <c r="D58" s="60"/>
      <c r="E58" s="60"/>
      <c r="F58" s="60"/>
      <c r="G58" s="60"/>
      <c r="H58" s="60"/>
      <c r="I58" s="60"/>
      <c r="J58" s="60"/>
      <c r="K58" s="72"/>
    </row>
    <row r="59" spans="1:11" ht="15" customHeight="1">
      <c r="A59" s="60" t="str">
        <f>"yang bertindak untuk dan atas nama "&amp;bu_nama&amp;";"</f>
        <v>yang bertindak untuk dan atas nama PT. DARUSSALAM MEDIA GROUP;</v>
      </c>
      <c r="B59" s="60"/>
      <c r="C59" s="60"/>
      <c r="D59" s="60"/>
      <c r="E59" s="60"/>
      <c r="F59" s="60"/>
      <c r="G59" s="60"/>
      <c r="H59" s="60"/>
      <c r="I59" s="60"/>
      <c r="J59" s="60"/>
      <c r="K59" s="72"/>
    </row>
    <row r="60" spans="1:11" ht="15" customHeight="1">
      <c r="A60" s="60" t="s">
        <v>1152</v>
      </c>
      <c r="B60" s="60"/>
      <c r="C60" s="27"/>
      <c r="D60" s="27"/>
      <c r="E60" s="27"/>
      <c r="F60" s="27"/>
      <c r="G60" s="27"/>
      <c r="H60" s="27"/>
      <c r="I60" s="27"/>
      <c r="J60" s="27"/>
      <c r="K60" s="72"/>
    </row>
    <row r="61" spans="1:11" ht="5.25" customHeight="1">
      <c r="A61" s="60"/>
      <c r="B61" s="60"/>
      <c r="C61" s="60"/>
      <c r="D61" s="60"/>
      <c r="E61" s="60"/>
      <c r="F61" s="60"/>
      <c r="G61" s="60"/>
      <c r="H61" s="60"/>
      <c r="I61" s="60"/>
      <c r="J61" s="60"/>
      <c r="K61" s="60"/>
    </row>
    <row r="62" spans="1:11" ht="15" customHeight="1">
      <c r="A62" s="884" t="str">
        <f>"Berdasarkan Surat Perintah Kerja (SPK) nomor "&amp;Input!$D$91&amp;", tanggal "&amp;Input!$H$91&amp;" Pekerjaan "&amp;paket&amp;", dengan ini Pejabat Penandatangan Kontrak dan Penyedia menyetujui semua ketentuan-ketentuan sebagai berikut:"</f>
        <v>Berdasarkan Surat Perintah Kerja (SPK) nomor 027.1/1/SPK/BPKAD/2025, tanggal 3 Agustus 2023 Pekerjaan Belanja Pemeliharaan Bangunan Gedung-Bangunan Gedung Tempat Kerja-Bangunan Gedung Kantor-Pemeliharaan Gedung Bertingkat, dengan ini Pejabat Penandatangan Kontrak dan Penyedia menyetujui semua ketentuan-ketentuan sebagai berikut:</v>
      </c>
      <c r="B62" s="884"/>
      <c r="C62" s="884"/>
      <c r="D62" s="884"/>
      <c r="E62" s="884"/>
      <c r="F62" s="884"/>
      <c r="G62" s="884"/>
      <c r="H62" s="884"/>
      <c r="I62" s="884"/>
      <c r="J62" s="884"/>
      <c r="K62" s="884"/>
    </row>
    <row r="63" spans="1:11" ht="15" customHeight="1">
      <c r="A63" s="884"/>
      <c r="B63" s="884"/>
      <c r="C63" s="884"/>
      <c r="D63" s="884"/>
      <c r="E63" s="884"/>
      <c r="F63" s="884"/>
      <c r="G63" s="884"/>
      <c r="H63" s="884"/>
      <c r="I63" s="884"/>
      <c r="J63" s="884"/>
      <c r="K63" s="884"/>
    </row>
    <row r="64" spans="1:11" ht="15" customHeight="1">
      <c r="A64" s="884"/>
      <c r="B64" s="884"/>
      <c r="C64" s="884"/>
      <c r="D64" s="884"/>
      <c r="E64" s="884"/>
      <c r="F64" s="884"/>
      <c r="G64" s="884"/>
      <c r="H64" s="884"/>
      <c r="I64" s="884"/>
      <c r="J64" s="884"/>
      <c r="K64" s="884"/>
    </row>
    <row r="65" spans="1:13" ht="15" customHeight="1">
      <c r="A65" s="820" t="s">
        <v>419</v>
      </c>
      <c r="B65" s="884" t="str">
        <f>"PPK menyerahkan kepada Penyedia dan penyedia menerima dengan baik dari PPK lokasi pekerjaan "&amp;paket&amp;";"</f>
        <v>PPK menyerahkan kepada Penyedia dan penyedia menerima dengan baik dari PPK lokasi pekerjaan Belanja Pemeliharaan Bangunan Gedung-Bangunan Gedung Tempat Kerja-Bangunan Gedung Kantor-Pemeliharaan Gedung Bertingkat;</v>
      </c>
      <c r="C65" s="884"/>
      <c r="D65" s="884"/>
      <c r="E65" s="884"/>
      <c r="F65" s="884"/>
      <c r="G65" s="884"/>
      <c r="H65" s="884"/>
      <c r="I65" s="884"/>
      <c r="J65" s="884"/>
      <c r="K65" s="884"/>
    </row>
    <row r="66" spans="1:13" ht="15" customHeight="1">
      <c r="A66" s="60"/>
      <c r="B66" s="884"/>
      <c r="C66" s="884"/>
      <c r="D66" s="884"/>
      <c r="E66" s="884"/>
      <c r="F66" s="884"/>
      <c r="G66" s="884"/>
      <c r="H66" s="884"/>
      <c r="I66" s="884"/>
      <c r="J66" s="884"/>
      <c r="K66" s="884"/>
    </row>
    <row r="67" spans="1:13" ht="15" customHeight="1">
      <c r="A67" s="820" t="s">
        <v>422</v>
      </c>
      <c r="B67" s="884" t="s">
        <v>1160</v>
      </c>
      <c r="C67" s="884"/>
      <c r="D67" s="884"/>
      <c r="E67" s="884"/>
      <c r="F67" s="884"/>
      <c r="G67" s="884"/>
      <c r="H67" s="884"/>
      <c r="I67" s="884"/>
      <c r="J67" s="884"/>
      <c r="K67" s="884"/>
    </row>
    <row r="68" spans="1:13" ht="15" customHeight="1">
      <c r="A68" s="60"/>
      <c r="B68" s="884"/>
      <c r="C68" s="884"/>
      <c r="D68" s="884"/>
      <c r="E68" s="884"/>
      <c r="F68" s="884"/>
      <c r="G68" s="884"/>
      <c r="H68" s="884"/>
      <c r="I68" s="884"/>
      <c r="J68" s="884"/>
      <c r="K68" s="884"/>
    </row>
    <row r="69" spans="1:13" ht="15" customHeight="1">
      <c r="A69" s="60"/>
      <c r="B69" s="884"/>
      <c r="C69" s="884"/>
      <c r="D69" s="884"/>
      <c r="E69" s="884"/>
      <c r="F69" s="884"/>
      <c r="G69" s="884"/>
      <c r="H69" s="884"/>
      <c r="I69" s="884"/>
      <c r="J69" s="884"/>
      <c r="K69" s="884"/>
    </row>
    <row r="70" spans="1:13" ht="15" customHeight="1">
      <c r="A70" s="820" t="s">
        <v>425</v>
      </c>
      <c r="B70" s="884" t="s">
        <v>1161</v>
      </c>
      <c r="C70" s="884"/>
      <c r="D70" s="884"/>
      <c r="E70" s="884"/>
      <c r="F70" s="884"/>
      <c r="G70" s="884"/>
      <c r="H70" s="884"/>
      <c r="I70" s="884"/>
      <c r="J70" s="884"/>
      <c r="K70" s="884"/>
    </row>
    <row r="71" spans="1:13" ht="15" customHeight="1">
      <c r="A71" s="60"/>
      <c r="B71" s="884"/>
      <c r="C71" s="884"/>
      <c r="D71" s="884"/>
      <c r="E71" s="884"/>
      <c r="F71" s="884"/>
      <c r="G71" s="884"/>
      <c r="H71" s="884"/>
      <c r="I71" s="884"/>
      <c r="J71" s="884"/>
      <c r="K71" s="884"/>
    </row>
    <row r="72" spans="1:13" ht="15" customHeight="1">
      <c r="A72" s="60"/>
      <c r="B72" s="884"/>
      <c r="C72" s="884"/>
      <c r="D72" s="884"/>
      <c r="E72" s="884"/>
      <c r="F72" s="884"/>
      <c r="G72" s="884"/>
      <c r="H72" s="884"/>
      <c r="I72" s="884"/>
      <c r="J72" s="884"/>
      <c r="K72" s="884"/>
    </row>
    <row r="73" spans="1:13" ht="15" customHeight="1">
      <c r="A73" s="60"/>
      <c r="B73" s="884"/>
      <c r="C73" s="884"/>
      <c r="D73" s="884"/>
      <c r="E73" s="884"/>
      <c r="F73" s="884"/>
      <c r="G73" s="884"/>
      <c r="H73" s="884"/>
      <c r="I73" s="884"/>
      <c r="J73" s="884"/>
      <c r="K73" s="884"/>
    </row>
    <row r="74" spans="1:13" ht="15" customHeight="1">
      <c r="A74" s="60"/>
      <c r="B74" s="60"/>
      <c r="C74" s="27"/>
      <c r="D74" s="27"/>
      <c r="E74" s="27"/>
      <c r="F74" s="27"/>
      <c r="G74" s="27"/>
      <c r="H74" s="27"/>
      <c r="I74" s="27"/>
      <c r="J74" s="27"/>
      <c r="K74" s="72"/>
    </row>
    <row r="75" spans="1:13" ht="15" customHeight="1">
      <c r="A75" s="60" t="s">
        <v>1155</v>
      </c>
      <c r="B75" s="60"/>
      <c r="C75" s="60"/>
      <c r="D75" s="60"/>
      <c r="E75" s="60"/>
      <c r="F75" s="60"/>
      <c r="G75" s="60"/>
      <c r="H75" s="60"/>
      <c r="I75" s="60"/>
      <c r="J75" s="60"/>
      <c r="K75" s="60"/>
    </row>
    <row r="76" spans="1:13" s="56" customFormat="1" ht="15" customHeight="1">
      <c r="B76" s="37"/>
      <c r="C76" s="37"/>
      <c r="D76" s="44"/>
      <c r="E76" s="64"/>
      <c r="F76" s="63"/>
      <c r="G76" s="63"/>
      <c r="H76" s="44"/>
      <c r="I76" s="44"/>
      <c r="J76" s="73"/>
      <c r="K76" s="74"/>
      <c r="L76" s="74"/>
      <c r="M76" s="37"/>
    </row>
    <row r="77" spans="1:13" s="56" customFormat="1" ht="15" customHeight="1">
      <c r="B77" s="37"/>
      <c r="C77" s="37"/>
      <c r="D77" s="44" t="s">
        <v>1162</v>
      </c>
      <c r="E77" s="64"/>
      <c r="F77" s="63"/>
      <c r="G77" s="63"/>
      <c r="H77" s="44"/>
      <c r="I77" s="44" t="s">
        <v>1163</v>
      </c>
      <c r="J77" s="73"/>
      <c r="K77" s="74"/>
      <c r="L77" s="74"/>
      <c r="M77" s="37"/>
    </row>
    <row r="78" spans="1:13" s="56" customFormat="1" ht="15" customHeight="1">
      <c r="B78" s="37"/>
      <c r="C78" s="37"/>
      <c r="D78" s="44" t="s">
        <v>163</v>
      </c>
      <c r="E78" s="64"/>
      <c r="F78" s="63"/>
      <c r="G78" s="63"/>
      <c r="H78" s="44"/>
      <c r="I78" s="44" t="s">
        <v>1149</v>
      </c>
      <c r="J78" s="73"/>
      <c r="K78" s="74"/>
      <c r="L78" s="74"/>
      <c r="M78" s="37"/>
    </row>
    <row r="79" spans="1:13" s="56" customFormat="1" ht="15" customHeight="1">
      <c r="B79" s="37"/>
      <c r="C79" s="37"/>
      <c r="D79" s="64"/>
      <c r="E79" s="64"/>
      <c r="F79" s="63"/>
      <c r="G79" s="63"/>
      <c r="H79" s="44"/>
      <c r="I79" s="44"/>
      <c r="J79" s="73"/>
      <c r="K79" s="74"/>
      <c r="L79" s="74"/>
      <c r="M79" s="37"/>
    </row>
    <row r="80" spans="1:13" s="56" customFormat="1" ht="15" customHeight="1">
      <c r="B80" s="37"/>
      <c r="C80" s="37"/>
      <c r="D80" s="64"/>
      <c r="E80" s="64"/>
      <c r="F80" s="63"/>
      <c r="G80" s="63"/>
      <c r="H80" s="44"/>
      <c r="I80" s="44"/>
      <c r="J80" s="73"/>
      <c r="K80" s="74"/>
      <c r="L80" s="74"/>
      <c r="M80" s="37"/>
    </row>
    <row r="81" spans="1:14" s="56" customFormat="1" ht="15" customHeight="1">
      <c r="B81" s="37"/>
      <c r="C81" s="37"/>
      <c r="D81" s="64"/>
      <c r="E81" s="64"/>
      <c r="F81" s="63"/>
      <c r="G81" s="63"/>
      <c r="H81" s="44"/>
      <c r="I81" s="44"/>
      <c r="J81" s="73"/>
      <c r="K81" s="74"/>
      <c r="L81" s="74"/>
      <c r="M81" s="37"/>
    </row>
    <row r="82" spans="1:14" s="56" customFormat="1" ht="15" customHeight="1">
      <c r="B82" s="37"/>
      <c r="C82" s="37"/>
      <c r="D82" s="65" t="str">
        <f>bu_pimn</f>
        <v>Saripudin</v>
      </c>
      <c r="E82" s="64"/>
      <c r="F82" s="63"/>
      <c r="G82" s="63"/>
      <c r="H82" s="44"/>
      <c r="I82" s="65" t="str">
        <f>ppk_nama</f>
        <v>Ika Kurnia Mustika, ST, MT</v>
      </c>
      <c r="J82" s="73"/>
      <c r="K82" s="74"/>
      <c r="L82" s="74"/>
      <c r="M82" s="37"/>
    </row>
    <row r="83" spans="1:14" s="56" customFormat="1" ht="15" customHeight="1">
      <c r="B83" s="37"/>
      <c r="C83" s="37"/>
      <c r="D83" s="44" t="str">
        <f>bu_pim&amp;" "&amp;bu_nama</f>
        <v>Direktur PT. DARUSSALAM MEDIA GROUP</v>
      </c>
      <c r="E83" s="64"/>
      <c r="F83" s="63"/>
      <c r="G83" s="63"/>
      <c r="H83" s="44"/>
      <c r="I83" s="44" t="str">
        <f>"NIP. "&amp;ppk_nip</f>
        <v>NIP. 19791117 200901 1 006</v>
      </c>
      <c r="J83" s="73"/>
      <c r="K83" s="74"/>
      <c r="L83" s="74"/>
      <c r="M83" s="37"/>
    </row>
    <row r="84" spans="1:14" ht="5.25" customHeight="1">
      <c r="A84" s="60"/>
      <c r="B84" s="60"/>
      <c r="C84" s="60"/>
      <c r="D84" s="60"/>
      <c r="E84" s="60"/>
      <c r="F84" s="60"/>
      <c r="G84" s="60"/>
      <c r="H84" s="60"/>
      <c r="I84" s="60"/>
      <c r="J84" s="60"/>
      <c r="K84" s="60"/>
    </row>
    <row r="85" spans="1:14" ht="5.25" customHeight="1"/>
    <row r="86" spans="1:14" ht="17.850000000000001" customHeight="1">
      <c r="A86" s="869" t="s">
        <v>1164</v>
      </c>
      <c r="B86" s="869"/>
      <c r="C86" s="869"/>
      <c r="D86" s="869"/>
      <c r="E86" s="869"/>
      <c r="F86" s="869"/>
      <c r="G86" s="869"/>
      <c r="H86" s="869"/>
      <c r="I86" s="869"/>
      <c r="J86" s="869"/>
      <c r="K86" s="869"/>
      <c r="L86" s="1177" t="s">
        <v>1165</v>
      </c>
      <c r="M86" s="69"/>
      <c r="N86" s="70"/>
    </row>
    <row r="87" spans="1:14" ht="15" customHeight="1">
      <c r="A87" s="870" t="str">
        <f>"Nomor: "&amp;Input!$D$97</f>
        <v>Nomor: 027/SPMK/A/VIII/45/2023</v>
      </c>
      <c r="B87" s="870"/>
      <c r="C87" s="870"/>
      <c r="D87" s="870"/>
      <c r="E87" s="870"/>
      <c r="F87" s="870"/>
      <c r="G87" s="870"/>
      <c r="H87" s="870"/>
      <c r="I87" s="870"/>
      <c r="J87" s="870"/>
      <c r="K87" s="870"/>
      <c r="L87" s="1177"/>
      <c r="M87" s="69"/>
      <c r="N87" s="58"/>
    </row>
    <row r="88" spans="1:14" customFormat="1" ht="5.25" customHeight="1">
      <c r="A88" s="59"/>
      <c r="B88" s="59"/>
      <c r="C88" s="59"/>
      <c r="D88" s="59"/>
      <c r="E88" s="59"/>
      <c r="F88" s="59"/>
      <c r="G88" s="59"/>
      <c r="H88" s="59"/>
      <c r="I88" s="59"/>
      <c r="J88" s="59"/>
      <c r="K88" s="59"/>
      <c r="L88" s="59"/>
      <c r="M88" s="69"/>
      <c r="N88" s="59"/>
    </row>
    <row r="89" spans="1:14" ht="15" customHeight="1">
      <c r="A89" s="60" t="s">
        <v>1139</v>
      </c>
      <c r="B89" s="60"/>
      <c r="C89" s="27"/>
      <c r="D89" s="27"/>
      <c r="E89" s="27"/>
      <c r="F89" s="27"/>
      <c r="G89" s="27"/>
      <c r="H89" s="27"/>
      <c r="I89" s="27"/>
      <c r="J89" s="27"/>
      <c r="K89" s="72"/>
      <c r="L89" s="71" t="s">
        <v>253</v>
      </c>
    </row>
    <row r="90" spans="1:14" ht="3" customHeight="1">
      <c r="A90" s="60"/>
      <c r="B90" s="60"/>
      <c r="C90" s="27"/>
      <c r="D90" s="27"/>
      <c r="E90" s="27"/>
      <c r="F90" s="27"/>
      <c r="G90" s="27"/>
      <c r="H90" s="27"/>
      <c r="I90" s="27"/>
      <c r="J90" s="27"/>
      <c r="K90" s="72"/>
    </row>
    <row r="91" spans="1:14" ht="15" customHeight="1">
      <c r="A91" s="60" t="s">
        <v>37</v>
      </c>
      <c r="B91" s="60"/>
      <c r="C91" s="61" t="s">
        <v>2</v>
      </c>
      <c r="D91" s="60" t="str">
        <f>ppk_nama</f>
        <v>Ika Kurnia Mustika, ST, MT</v>
      </c>
      <c r="E91" s="60"/>
      <c r="F91" s="60"/>
      <c r="G91" s="60"/>
      <c r="H91" s="60"/>
      <c r="I91" s="60"/>
      <c r="J91" s="60"/>
      <c r="K91" s="72"/>
    </row>
    <row r="92" spans="1:14" ht="15" customHeight="1">
      <c r="A92" s="60" t="s">
        <v>50</v>
      </c>
      <c r="B92" s="60"/>
      <c r="C92" s="61" t="s">
        <v>2</v>
      </c>
      <c r="D92" s="60" t="str">
        <f>ppk_jab</f>
        <v>Pejabat Pembuat Komitmen</v>
      </c>
      <c r="E92" s="60"/>
      <c r="F92" s="60"/>
      <c r="G92" s="60"/>
      <c r="H92" s="60"/>
      <c r="I92" s="60"/>
      <c r="J92" s="60"/>
      <c r="K92" s="72"/>
    </row>
    <row r="93" spans="1:14" ht="15" customHeight="1">
      <c r="A93" s="60" t="s">
        <v>190</v>
      </c>
      <c r="B93" s="60"/>
      <c r="C93" s="61" t="s">
        <v>2</v>
      </c>
      <c r="D93" s="884" t="str">
        <f>opd_almt</f>
        <v>Jalan Pejanggik Nomor 14 Telp.( 0370 ) 627689, 625345 Fax: 627677</v>
      </c>
      <c r="E93" s="884"/>
      <c r="F93" s="884"/>
      <c r="G93" s="884"/>
      <c r="H93" s="884"/>
      <c r="I93" s="884"/>
      <c r="J93" s="884"/>
      <c r="K93" s="884"/>
    </row>
    <row r="94" spans="1:14" ht="15" customHeight="1">
      <c r="A94" s="60" t="str">
        <f>"selanjutnya disebut sebagai Pejabat Penandatangan Kontrak;"</f>
        <v>selanjutnya disebut sebagai Pejabat Penandatangan Kontrak;</v>
      </c>
      <c r="B94" s="60"/>
      <c r="C94" s="60"/>
      <c r="D94" s="60"/>
      <c r="E94" s="60"/>
      <c r="F94" s="60"/>
      <c r="G94" s="60"/>
      <c r="H94" s="60"/>
      <c r="I94" s="60"/>
      <c r="J94" s="60"/>
      <c r="K94" s="72"/>
    </row>
    <row r="95" spans="1:14" ht="3" customHeight="1">
      <c r="A95" s="60"/>
      <c r="B95" s="60"/>
      <c r="C95" s="60"/>
      <c r="D95" s="60"/>
      <c r="E95" s="60"/>
      <c r="F95" s="60"/>
      <c r="G95" s="60"/>
      <c r="H95" s="60"/>
      <c r="I95" s="60"/>
      <c r="J95" s="60"/>
      <c r="K95" s="72"/>
    </row>
    <row r="96" spans="1:14" ht="15" customHeight="1">
      <c r="A96" s="884" t="str">
        <f>"berdasarkan SPK "&amp;paket&amp;" pada "&amp;opd_nama&amp;" nomor "&amp;Input!$D$91&amp;" tanggal "&amp;Input!$H$91&amp;", bersama ini memerintahkan:"</f>
        <v>berdasarkan SPK Belanja Pemeliharaan Bangunan Gedung-Bangunan Gedung Tempat Kerja-Bangunan Gedung Kantor-Pemeliharaan Gedung Bertingkat pada Badan Pengelolaan Keuangan dan Aset Daerah nomor 027.1/1/SPK/BPKAD/2025 tanggal 3 Agustus 2023, bersama ini memerintahkan:</v>
      </c>
      <c r="B96" s="884"/>
      <c r="C96" s="884"/>
      <c r="D96" s="884"/>
      <c r="E96" s="884"/>
      <c r="F96" s="884"/>
      <c r="G96" s="884"/>
      <c r="H96" s="884"/>
      <c r="I96" s="884"/>
      <c r="J96" s="884"/>
      <c r="K96" s="884"/>
    </row>
    <row r="97" spans="1:12" ht="15" customHeight="1">
      <c r="A97" s="884"/>
      <c r="B97" s="884"/>
      <c r="C97" s="884"/>
      <c r="D97" s="884"/>
      <c r="E97" s="884"/>
      <c r="F97" s="884"/>
      <c r="G97" s="884"/>
      <c r="H97" s="884"/>
      <c r="I97" s="884"/>
      <c r="J97" s="884"/>
      <c r="K97" s="884"/>
    </row>
    <row r="98" spans="1:12" ht="5.25" customHeight="1">
      <c r="A98" s="60"/>
      <c r="B98" s="60"/>
      <c r="C98" s="27"/>
      <c r="D98" s="27"/>
      <c r="E98" s="27"/>
      <c r="F98" s="27"/>
      <c r="G98" s="27"/>
      <c r="H98" s="27"/>
      <c r="I98" s="27"/>
      <c r="J98" s="27"/>
      <c r="K98" s="72"/>
    </row>
    <row r="99" spans="1:12" ht="15" customHeight="1">
      <c r="A99" s="60" t="s">
        <v>186</v>
      </c>
      <c r="B99" s="60"/>
      <c r="C99" s="61" t="s">
        <v>2</v>
      </c>
      <c r="D99" s="60" t="str">
        <f>bu_nama</f>
        <v>PT. DARUSSALAM MEDIA GROUP</v>
      </c>
      <c r="E99" s="60"/>
      <c r="F99" s="60"/>
      <c r="G99" s="60"/>
      <c r="H99" s="60"/>
      <c r="I99" s="60"/>
      <c r="J99" s="60"/>
      <c r="K99" s="72"/>
    </row>
    <row r="100" spans="1:12" ht="15" customHeight="1">
      <c r="A100" s="60" t="s">
        <v>188</v>
      </c>
      <c r="B100" s="60"/>
      <c r="C100" s="61" t="s">
        <v>2</v>
      </c>
      <c r="D100" s="60" t="str">
        <f>bu_npwp</f>
        <v>03.990.125.5.8-911.000</v>
      </c>
      <c r="E100" s="60"/>
      <c r="F100" s="60"/>
      <c r="G100" s="60"/>
      <c r="H100" s="60"/>
      <c r="I100" s="60"/>
      <c r="J100" s="60"/>
      <c r="K100" s="72"/>
    </row>
    <row r="101" spans="1:12" ht="30.95" customHeight="1">
      <c r="A101" s="60" t="s">
        <v>190</v>
      </c>
      <c r="B101" s="60"/>
      <c r="C101" s="61" t="s">
        <v>2</v>
      </c>
      <c r="D101" s="884" t="str">
        <f>bu_almt</f>
        <v>JL Meninting 13 No.. 22C BTN Kekalik, Kel. Pagesangan Barat, Kota Mataram, Provinsi Nusa Tenggara Barat</v>
      </c>
      <c r="E101" s="884"/>
      <c r="F101" s="884"/>
      <c r="G101" s="884"/>
      <c r="H101" s="884"/>
      <c r="I101" s="884"/>
      <c r="J101" s="884"/>
      <c r="K101" s="884"/>
    </row>
    <row r="102" spans="1:12" ht="3" customHeight="1">
      <c r="A102" s="60"/>
      <c r="B102" s="60"/>
      <c r="C102" s="60"/>
      <c r="D102" s="60"/>
      <c r="E102" s="60"/>
      <c r="F102" s="60"/>
      <c r="G102" s="60"/>
      <c r="H102" s="60"/>
      <c r="I102" s="60"/>
      <c r="J102" s="60"/>
      <c r="K102" s="72"/>
    </row>
    <row r="103" spans="1:12" ht="15" customHeight="1">
      <c r="A103" s="60" t="str">
        <f>"yang dalam hal ini diwakili oleh "&amp;bu_pimn&amp;" selanjutnya disebut sebagai Penyedia;"</f>
        <v>yang dalam hal ini diwakili oleh Saripudin selanjutnya disebut sebagai Penyedia;</v>
      </c>
      <c r="B103" s="60"/>
      <c r="C103" s="60"/>
      <c r="D103" s="60"/>
      <c r="E103" s="60"/>
      <c r="F103" s="60"/>
      <c r="G103" s="60"/>
      <c r="H103" s="60"/>
      <c r="I103" s="60"/>
      <c r="J103" s="60"/>
      <c r="K103" s="72"/>
    </row>
    <row r="104" spans="1:12" ht="15" customHeight="1">
      <c r="A104" s="60" t="s">
        <v>1140</v>
      </c>
      <c r="B104" s="60"/>
      <c r="C104" s="27"/>
      <c r="D104" s="27"/>
      <c r="E104" s="27"/>
      <c r="F104" s="27"/>
      <c r="G104" s="27"/>
      <c r="H104" s="27"/>
      <c r="I104" s="27"/>
      <c r="J104" s="27"/>
      <c r="K104" s="72"/>
    </row>
    <row r="105" spans="1:12" ht="3" customHeight="1">
      <c r="A105" s="60"/>
      <c r="B105" s="60"/>
      <c r="C105" s="60"/>
      <c r="D105" s="60"/>
      <c r="E105" s="60"/>
      <c r="F105" s="60"/>
      <c r="G105" s="60"/>
      <c r="H105" s="60"/>
      <c r="I105" s="60"/>
      <c r="J105" s="60"/>
      <c r="K105" s="60"/>
    </row>
    <row r="106" spans="1:12" ht="15" customHeight="1">
      <c r="A106" s="796" t="s">
        <v>419</v>
      </c>
      <c r="B106" s="37" t="s">
        <v>1166</v>
      </c>
      <c r="C106" s="37"/>
      <c r="D106" s="37"/>
      <c r="E106" s="37" t="s">
        <v>2</v>
      </c>
      <c r="F106" s="38" t="str">
        <f>PPK.Spek!B15</f>
        <v>Router</v>
      </c>
      <c r="G106" s="37"/>
      <c r="H106" s="37"/>
      <c r="I106" s="37"/>
      <c r="J106" s="37"/>
      <c r="K106" s="37"/>
      <c r="L106" s="160" t="str">
        <f>"unhide row "&amp;ROW(A107)&amp;" - "&amp;ROW(A125)</f>
        <v>unhide row 107 - 125</v>
      </c>
    </row>
    <row r="107" spans="1:12" ht="15" customHeight="1">
      <c r="A107" s="37"/>
      <c r="B107" s="37"/>
      <c r="C107" s="37"/>
      <c r="D107" s="37"/>
      <c r="E107" s="37"/>
      <c r="F107" s="38" t="str">
        <f>PPK.Spek!B16</f>
        <v>Optical Line Terminal</v>
      </c>
      <c r="G107" s="37"/>
      <c r="H107" s="37"/>
      <c r="I107" s="37"/>
      <c r="J107" s="37"/>
      <c r="K107" s="37"/>
    </row>
    <row r="108" spans="1:12" ht="15" hidden="1" customHeight="1">
      <c r="A108" s="37"/>
      <c r="B108" s="37"/>
      <c r="C108" s="37"/>
      <c r="D108" s="37"/>
      <c r="E108" s="37"/>
      <c r="F108" s="38" t="str">
        <f>PPK.Spek!B17</f>
        <v>Optical Termination Box</v>
      </c>
      <c r="G108" s="37"/>
      <c r="H108" s="37"/>
      <c r="I108" s="37"/>
      <c r="J108" s="37"/>
      <c r="K108" s="37"/>
    </row>
    <row r="109" spans="1:12" ht="15" hidden="1" customHeight="1">
      <c r="A109" s="37"/>
      <c r="B109" s="37"/>
      <c r="C109" s="37"/>
      <c r="D109" s="37"/>
      <c r="E109" s="37"/>
      <c r="F109" s="38" t="str">
        <f>PPK.Spek!B18</f>
        <v>Optical Distribution Point</v>
      </c>
      <c r="G109" s="37"/>
      <c r="H109" s="37"/>
      <c r="I109" s="37"/>
      <c r="J109" s="37"/>
      <c r="K109" s="37"/>
    </row>
    <row r="110" spans="1:12" ht="15" hidden="1" customHeight="1">
      <c r="A110" s="37"/>
      <c r="B110" s="37"/>
      <c r="C110" s="37"/>
      <c r="D110" s="37"/>
      <c r="E110" s="37"/>
      <c r="F110" s="38" t="str">
        <f>PPK.Spek!B19</f>
        <v>Kabel backbone KU Mini 12 core pig 8 2000M</v>
      </c>
      <c r="G110" s="37"/>
      <c r="H110" s="37"/>
      <c r="I110" s="37"/>
      <c r="J110" s="37"/>
      <c r="K110" s="37"/>
    </row>
    <row r="111" spans="1:12" ht="15" hidden="1" customHeight="1">
      <c r="A111" s="37"/>
      <c r="B111" s="37"/>
      <c r="C111" s="37"/>
      <c r="D111" s="37"/>
      <c r="E111" s="37"/>
      <c r="F111" s="38" t="str">
        <f>PPK.Spek!B20</f>
        <v xml:space="preserve">Kabel Fiber 4 core pig 8 2000M </v>
      </c>
      <c r="G111" s="37"/>
      <c r="H111" s="37"/>
      <c r="I111" s="37"/>
      <c r="J111" s="37"/>
      <c r="K111" s="37"/>
    </row>
    <row r="112" spans="1:12" ht="15" hidden="1" customHeight="1">
      <c r="A112" s="37"/>
      <c r="B112" s="37"/>
      <c r="C112" s="37"/>
      <c r="D112" s="37"/>
      <c r="E112" s="37"/>
      <c r="F112" s="38" t="str">
        <f>PPK.Spek!B21</f>
        <v>Kabel UTP CAT 6</v>
      </c>
      <c r="G112" s="37"/>
      <c r="H112" s="37"/>
      <c r="I112" s="37"/>
      <c r="J112" s="37"/>
      <c r="K112" s="37"/>
    </row>
    <row r="113" spans="1:13" ht="15" hidden="1" customHeight="1">
      <c r="A113" s="37"/>
      <c r="B113" s="37"/>
      <c r="C113" s="37"/>
      <c r="D113" s="37"/>
      <c r="E113" s="37"/>
      <c r="F113" s="38" t="str">
        <f>PPK.Spek!B22</f>
        <v xml:space="preserve">Akses Poin Outdor NS </v>
      </c>
      <c r="G113" s="37"/>
      <c r="H113" s="37"/>
      <c r="I113" s="37"/>
      <c r="J113" s="37"/>
      <c r="K113" s="37"/>
    </row>
    <row r="114" spans="1:13" ht="15" hidden="1" customHeight="1">
      <c r="A114" s="37"/>
      <c r="B114" s="37"/>
      <c r="C114" s="37"/>
      <c r="D114" s="37"/>
      <c r="E114" s="37"/>
      <c r="F114" s="38" t="str">
        <f>PPK.Spek!B23</f>
        <v>Switch Hub 24 port</v>
      </c>
      <c r="G114" s="37"/>
      <c r="H114" s="37"/>
      <c r="I114" s="37"/>
      <c r="J114" s="37"/>
      <c r="K114" s="37"/>
    </row>
    <row r="115" spans="1:13" ht="15" hidden="1" customHeight="1">
      <c r="A115" s="37"/>
      <c r="B115" s="37"/>
      <c r="C115" s="37"/>
      <c r="D115" s="37"/>
      <c r="E115" s="37"/>
      <c r="F115" s="38" t="str">
        <f>PPK.Spek!B24</f>
        <v>Modem Optical Network Unit</v>
      </c>
      <c r="G115" s="37"/>
      <c r="H115" s="37"/>
      <c r="I115" s="37"/>
      <c r="J115" s="37"/>
      <c r="K115" s="37"/>
    </row>
    <row r="116" spans="1:13" ht="15" hidden="1" customHeight="1">
      <c r="A116" s="37"/>
      <c r="B116" s="37"/>
      <c r="C116" s="37"/>
      <c r="D116" s="37"/>
      <c r="E116" s="37"/>
      <c r="F116" s="38" t="str">
        <f>PPK.Spek!B25</f>
        <v>UPS 2KVA</v>
      </c>
      <c r="G116" s="37"/>
      <c r="H116" s="37"/>
      <c r="I116" s="37"/>
      <c r="J116" s="37"/>
      <c r="K116" s="37"/>
    </row>
    <row r="117" spans="1:13" ht="15" hidden="1" customHeight="1">
      <c r="A117" s="37"/>
      <c r="B117" s="37"/>
      <c r="C117" s="37"/>
      <c r="D117" s="37"/>
      <c r="E117" s="37"/>
      <c r="F117" s="38">
        <f>PPK.Spek!B26</f>
        <v>0</v>
      </c>
      <c r="G117" s="37"/>
      <c r="H117" s="37"/>
      <c r="I117" s="37"/>
      <c r="J117" s="37"/>
      <c r="K117" s="37"/>
    </row>
    <row r="118" spans="1:13" ht="15" hidden="1" customHeight="1">
      <c r="A118" s="37"/>
      <c r="B118" s="37"/>
      <c r="C118" s="37"/>
      <c r="D118" s="37"/>
      <c r="E118" s="37"/>
      <c r="F118" s="38">
        <f>PPK.Spek!B27</f>
        <v>0</v>
      </c>
      <c r="G118" s="37"/>
      <c r="H118" s="37"/>
      <c r="I118" s="37"/>
      <c r="J118" s="37"/>
      <c r="K118" s="37"/>
    </row>
    <row r="119" spans="1:13" ht="15" hidden="1" customHeight="1">
      <c r="A119" s="37"/>
      <c r="B119" s="37"/>
      <c r="C119" s="37"/>
      <c r="D119" s="37"/>
      <c r="E119" s="37"/>
      <c r="F119" s="38">
        <f>PPK.Spek!B28</f>
        <v>0</v>
      </c>
      <c r="G119" s="37"/>
      <c r="H119" s="37"/>
      <c r="I119" s="37"/>
      <c r="J119" s="37"/>
      <c r="K119" s="37"/>
    </row>
    <row r="120" spans="1:13" ht="15" hidden="1" customHeight="1">
      <c r="A120" s="37"/>
      <c r="B120" s="37"/>
      <c r="C120" s="37"/>
      <c r="D120" s="37"/>
      <c r="E120" s="37"/>
      <c r="F120" s="38">
        <f>PPK.Spek!B29</f>
        <v>0</v>
      </c>
      <c r="G120" s="37"/>
      <c r="H120" s="37"/>
      <c r="I120" s="37"/>
      <c r="J120" s="37"/>
      <c r="K120" s="37"/>
    </row>
    <row r="121" spans="1:13" ht="15" hidden="1" customHeight="1">
      <c r="A121" s="37"/>
      <c r="B121" s="37"/>
      <c r="C121" s="37"/>
      <c r="D121" s="37"/>
      <c r="E121" s="37"/>
      <c r="F121" s="38">
        <f>PPK.Spek!B30</f>
        <v>0</v>
      </c>
      <c r="G121" s="37"/>
      <c r="H121" s="37"/>
      <c r="I121" s="37"/>
      <c r="J121" s="37"/>
      <c r="K121" s="37"/>
    </row>
    <row r="122" spans="1:13" ht="15" hidden="1" customHeight="1">
      <c r="A122" s="37"/>
      <c r="B122" s="37"/>
      <c r="C122" s="37"/>
      <c r="D122" s="37"/>
      <c r="E122" s="37"/>
      <c r="F122" s="38">
        <f>PPK.Spek!B31</f>
        <v>0</v>
      </c>
      <c r="G122" s="37"/>
      <c r="H122" s="37"/>
      <c r="I122" s="37"/>
      <c r="J122" s="37"/>
      <c r="K122" s="37"/>
    </row>
    <row r="123" spans="1:13" ht="15" hidden="1" customHeight="1">
      <c r="A123" s="37"/>
      <c r="B123" s="37"/>
      <c r="C123" s="37"/>
      <c r="D123" s="37"/>
      <c r="E123" s="37"/>
      <c r="F123" s="38">
        <f>PPK.Spek!B32</f>
        <v>0</v>
      </c>
      <c r="G123" s="37"/>
      <c r="H123" s="37"/>
      <c r="I123" s="37"/>
      <c r="J123" s="37"/>
      <c r="K123" s="37"/>
    </row>
    <row r="124" spans="1:13" ht="15" hidden="1" customHeight="1">
      <c r="A124" s="37"/>
      <c r="B124" s="37"/>
      <c r="C124" s="37"/>
      <c r="D124" s="37"/>
      <c r="E124" s="37"/>
      <c r="F124" s="38">
        <f>PPK.Spek!B33</f>
        <v>0</v>
      </c>
      <c r="G124" s="37"/>
      <c r="H124" s="37"/>
      <c r="I124" s="37"/>
      <c r="J124" s="37"/>
      <c r="K124" s="37"/>
    </row>
    <row r="125" spans="1:13" ht="15" hidden="1" customHeight="1">
      <c r="A125" s="37"/>
      <c r="B125" s="37"/>
      <c r="C125" s="37"/>
      <c r="D125" s="37"/>
      <c r="E125" s="37"/>
      <c r="F125" s="38">
        <f>PPK.Spek!B34</f>
        <v>0</v>
      </c>
      <c r="G125" s="37"/>
      <c r="H125" s="37"/>
      <c r="I125" s="37"/>
      <c r="J125" s="37"/>
      <c r="K125" s="37"/>
    </row>
    <row r="126" spans="1:13" s="56" customFormat="1" ht="15" customHeight="1">
      <c r="A126" s="819" t="s">
        <v>422</v>
      </c>
      <c r="B126" s="159" t="s">
        <v>1167</v>
      </c>
      <c r="C126" s="37"/>
      <c r="D126" s="64"/>
      <c r="E126" s="53" t="s">
        <v>2</v>
      </c>
      <c r="F126" s="1281" t="str">
        <f>"Rp. "&amp;TEXT(bu_hn,tiko1)&amp;" ("&amp;bu_hn2&amp;")"</f>
        <v>Rp. 69,862,000 (Enam Puluh Sembilan Juta Delapan Ratus Enam Puluh Dua Ribu Rupiah)</v>
      </c>
      <c r="G126" s="1281"/>
      <c r="H126" s="1281"/>
      <c r="I126" s="1281"/>
      <c r="J126" s="1281"/>
      <c r="K126" s="1281"/>
      <c r="L126" s="74"/>
      <c r="M126" s="37"/>
    </row>
    <row r="127" spans="1:13" s="56" customFormat="1" ht="15" customHeight="1">
      <c r="A127" s="819" t="s">
        <v>425</v>
      </c>
      <c r="B127" s="159" t="s">
        <v>1168</v>
      </c>
      <c r="C127" s="37"/>
      <c r="D127" s="64"/>
      <c r="E127" s="53" t="s">
        <v>2</v>
      </c>
      <c r="F127" s="63">
        <f>Input!$F$98</f>
        <v>45141</v>
      </c>
      <c r="G127" s="63"/>
      <c r="H127" s="44"/>
      <c r="I127" s="44"/>
      <c r="J127" s="73"/>
      <c r="K127" s="74"/>
      <c r="L127" s="74"/>
      <c r="M127" s="37"/>
    </row>
    <row r="128" spans="1:13" s="56" customFormat="1" ht="15" customHeight="1">
      <c r="A128" s="819" t="s">
        <v>435</v>
      </c>
      <c r="B128" s="159" t="s">
        <v>1169</v>
      </c>
      <c r="C128" s="37"/>
      <c r="D128" s="64"/>
      <c r="E128" s="53" t="s">
        <v>2</v>
      </c>
      <c r="F128" s="63" t="s">
        <v>1170</v>
      </c>
      <c r="G128" s="63"/>
      <c r="H128" s="44"/>
      <c r="I128" s="44"/>
      <c r="J128" s="73"/>
      <c r="K128" s="74"/>
      <c r="L128" s="74"/>
      <c r="M128" s="37"/>
    </row>
    <row r="129" spans="1:13" s="56" customFormat="1" ht="15" customHeight="1">
      <c r="A129" s="819" t="s">
        <v>441</v>
      </c>
      <c r="B129" s="159" t="s">
        <v>1145</v>
      </c>
      <c r="C129" s="37"/>
      <c r="D129" s="64"/>
      <c r="E129" s="53" t="s">
        <v>2</v>
      </c>
      <c r="F129" s="1265" t="str">
        <f>"selama "&amp;masa&amp;" ("&amp;Input!$E$16&amp;") hari kalender dan pekerjaan harus sudah selesai pada tanggal "&amp;Input!$H$99</f>
        <v>selama 30 (tiga puluh) hari kalender dan pekerjaan harus sudah selesai pada tanggal 2 September 2023</v>
      </c>
      <c r="G129" s="1265"/>
      <c r="H129" s="1265"/>
      <c r="I129" s="1265"/>
      <c r="J129" s="1265"/>
      <c r="K129" s="1265"/>
      <c r="L129" s="74"/>
      <c r="M129" s="37"/>
    </row>
    <row r="130" spans="1:13" s="56" customFormat="1" ht="15" customHeight="1">
      <c r="B130" s="37"/>
      <c r="C130" s="37"/>
      <c r="D130" s="64"/>
      <c r="E130" s="53"/>
      <c r="F130" s="1265"/>
      <c r="G130" s="1265"/>
      <c r="H130" s="1265"/>
      <c r="I130" s="1265"/>
      <c r="J130" s="1265"/>
      <c r="K130" s="1265"/>
      <c r="L130" s="74"/>
      <c r="M130" s="37"/>
    </row>
    <row r="131" spans="1:13" s="56" customFormat="1" ht="15" customHeight="1">
      <c r="A131" s="819" t="s">
        <v>444</v>
      </c>
      <c r="B131" s="159" t="s">
        <v>1147</v>
      </c>
      <c r="C131" s="37"/>
      <c r="D131" s="64"/>
      <c r="E131" s="53" t="s">
        <v>2</v>
      </c>
      <c r="F131" s="1265" t="s">
        <v>1171</v>
      </c>
      <c r="G131" s="1265"/>
      <c r="H131" s="1265"/>
      <c r="I131" s="1265"/>
      <c r="J131" s="1265"/>
      <c r="K131" s="1265"/>
      <c r="L131" s="74"/>
      <c r="M131" s="37"/>
    </row>
    <row r="132" spans="1:13" s="56" customFormat="1" ht="15" customHeight="1">
      <c r="B132" s="37"/>
      <c r="C132" s="37"/>
      <c r="D132" s="64"/>
      <c r="E132" s="64"/>
      <c r="F132" s="1265"/>
      <c r="G132" s="1265"/>
      <c r="H132" s="1265"/>
      <c r="I132" s="1265"/>
      <c r="J132" s="1265"/>
      <c r="K132" s="1265"/>
      <c r="L132" s="74"/>
      <c r="M132" s="37"/>
    </row>
    <row r="133" spans="1:13" s="56" customFormat="1" ht="15" customHeight="1">
      <c r="B133" s="37"/>
      <c r="C133" s="37"/>
      <c r="D133" s="64"/>
      <c r="E133" s="64"/>
      <c r="F133" s="1265"/>
      <c r="G133" s="1265"/>
      <c r="H133" s="1265"/>
      <c r="I133" s="1265"/>
      <c r="J133" s="1265"/>
      <c r="K133" s="1265"/>
      <c r="L133" s="74"/>
      <c r="M133" s="37"/>
    </row>
    <row r="134" spans="1:13" s="56" customFormat="1" ht="15" customHeight="1">
      <c r="B134" s="37"/>
      <c r="C134" s="37"/>
      <c r="D134" s="64"/>
      <c r="E134" s="64"/>
      <c r="F134" s="1265"/>
      <c r="G134" s="1265"/>
      <c r="H134" s="1265"/>
      <c r="I134" s="1265"/>
      <c r="J134" s="1265"/>
      <c r="K134" s="1265"/>
      <c r="L134" s="74"/>
      <c r="M134" s="37"/>
    </row>
    <row r="135" spans="1:13" s="56" customFormat="1" ht="5.25" customHeight="1">
      <c r="B135" s="37"/>
      <c r="C135" s="37"/>
      <c r="D135" s="64"/>
      <c r="E135" s="64"/>
      <c r="F135" s="63"/>
      <c r="G135" s="63"/>
      <c r="H135" s="44"/>
      <c r="I135" s="44"/>
      <c r="J135" s="73"/>
      <c r="K135" s="74"/>
      <c r="L135" s="74"/>
      <c r="M135" s="37"/>
    </row>
    <row r="136" spans="1:13" s="56" customFormat="1" ht="15" customHeight="1">
      <c r="A136" s="1275" t="str">
        <f>ppk_lok&amp;", "&amp;Input!$H$97</f>
        <v>Mataram, 3 Agustus 2023</v>
      </c>
      <c r="B136" s="1275"/>
      <c r="C136" s="1275"/>
      <c r="D136" s="1275"/>
      <c r="E136" s="1275"/>
      <c r="F136" s="1275"/>
      <c r="G136" s="1275"/>
      <c r="H136" s="1275"/>
      <c r="I136" s="1275"/>
      <c r="J136" s="1275"/>
      <c r="K136" s="1275"/>
      <c r="L136" s="74"/>
      <c r="M136" s="37"/>
    </row>
    <row r="137" spans="1:13" s="56" customFormat="1" ht="15" customHeight="1">
      <c r="A137" s="1138" t="str">
        <f>bu_nama</f>
        <v>PT. DARUSSALAM MEDIA GROUP</v>
      </c>
      <c r="B137" s="1138"/>
      <c r="C137" s="1138"/>
      <c r="D137" s="1138"/>
      <c r="E137" s="1138"/>
      <c r="F137" s="1138"/>
      <c r="G137" s="63"/>
      <c r="H137" s="1138" t="str">
        <f>opd_nama</f>
        <v>Badan Pengelolaan Keuangan dan Aset Daerah</v>
      </c>
      <c r="I137" s="1138"/>
      <c r="J137" s="1138"/>
      <c r="K137" s="1138"/>
      <c r="L137" s="74"/>
      <c r="M137" s="37"/>
    </row>
    <row r="138" spans="1:13" s="56" customFormat="1" ht="15" customHeight="1">
      <c r="B138" s="37"/>
      <c r="C138" s="37"/>
      <c r="D138" s="64"/>
      <c r="E138" s="64"/>
      <c r="F138" s="63"/>
      <c r="G138" s="63"/>
      <c r="H138" s="44"/>
      <c r="I138" s="44"/>
      <c r="J138" s="73"/>
      <c r="K138" s="74"/>
      <c r="L138" s="74"/>
      <c r="M138" s="37"/>
    </row>
    <row r="139" spans="1:13" s="56" customFormat="1" ht="15" customHeight="1">
      <c r="B139" s="37"/>
      <c r="C139" s="37"/>
      <c r="D139" s="64"/>
      <c r="E139" s="64"/>
      <c r="F139" s="63"/>
      <c r="G139" s="63"/>
      <c r="H139" s="44"/>
      <c r="I139" s="44"/>
      <c r="J139" s="73"/>
      <c r="K139" s="74"/>
      <c r="L139" s="74"/>
      <c r="M139" s="37"/>
    </row>
    <row r="140" spans="1:13" s="56" customFormat="1" ht="15" customHeight="1">
      <c r="B140" s="37"/>
      <c r="C140" s="37"/>
      <c r="D140" s="64"/>
      <c r="E140" s="64"/>
      <c r="F140" s="63"/>
      <c r="G140" s="63"/>
      <c r="H140" s="44"/>
      <c r="I140" s="44"/>
      <c r="J140" s="73"/>
      <c r="K140" s="74"/>
      <c r="L140" s="74"/>
      <c r="M140" s="37"/>
    </row>
    <row r="141" spans="1:13" s="56" customFormat="1" ht="15" customHeight="1">
      <c r="B141" s="37"/>
      <c r="C141" s="37"/>
      <c r="D141" s="64"/>
      <c r="E141" s="64"/>
      <c r="F141" s="63"/>
      <c r="G141" s="63"/>
      <c r="H141" s="44"/>
      <c r="I141" s="44"/>
      <c r="J141" s="73"/>
      <c r="K141" s="74"/>
      <c r="L141" s="74"/>
      <c r="M141" s="37"/>
    </row>
    <row r="142" spans="1:13" s="56" customFormat="1" ht="15" customHeight="1">
      <c r="A142" s="1241" t="str">
        <f>bu_pimn</f>
        <v>Saripudin</v>
      </c>
      <c r="B142" s="1241"/>
      <c r="C142" s="1241"/>
      <c r="D142" s="1241"/>
      <c r="E142" s="1241"/>
      <c r="F142" s="1241"/>
      <c r="G142" s="63"/>
      <c r="H142" s="1241" t="str">
        <f>ppk_nama</f>
        <v>Ika Kurnia Mustika, ST, MT</v>
      </c>
      <c r="I142" s="1241"/>
      <c r="J142" s="1241"/>
      <c r="K142" s="1241"/>
      <c r="L142" s="74"/>
      <c r="M142" s="37"/>
    </row>
    <row r="143" spans="1:13" s="56" customFormat="1" ht="15" customHeight="1">
      <c r="A143" s="1138" t="str">
        <f>bu_pim</f>
        <v>Direktur</v>
      </c>
      <c r="B143" s="1138"/>
      <c r="C143" s="1138"/>
      <c r="D143" s="1138"/>
      <c r="E143" s="1138"/>
      <c r="F143" s="1138"/>
      <c r="G143" s="63"/>
      <c r="H143" s="1138" t="str">
        <f>ppk_jab</f>
        <v>Pejabat Pembuat Komitmen</v>
      </c>
      <c r="I143" s="1138"/>
      <c r="J143" s="1138"/>
      <c r="K143" s="1138"/>
      <c r="L143" s="74"/>
      <c r="M143" s="37"/>
    </row>
    <row r="144" spans="1:13" ht="5.25" customHeight="1">
      <c r="A144" s="60"/>
      <c r="B144" s="60"/>
      <c r="C144" s="60"/>
      <c r="D144" s="60"/>
      <c r="E144" s="60"/>
      <c r="F144" s="60"/>
      <c r="G144" s="60"/>
      <c r="H144" s="60"/>
      <c r="I144" s="60"/>
      <c r="J144" s="60"/>
      <c r="K144" s="60"/>
    </row>
    <row r="145" spans="1:14" ht="17.850000000000001" customHeight="1">
      <c r="A145" s="869" t="s">
        <v>1150</v>
      </c>
      <c r="B145" s="869"/>
      <c r="C145" s="869"/>
      <c r="D145" s="869"/>
      <c r="E145" s="869"/>
      <c r="F145" s="869"/>
      <c r="G145" s="869"/>
      <c r="H145" s="869"/>
      <c r="I145" s="869"/>
      <c r="J145" s="869"/>
      <c r="K145" s="869"/>
      <c r="L145" s="70"/>
      <c r="M145" s="69"/>
      <c r="N145" s="70"/>
    </row>
    <row r="146" spans="1:14" ht="15" customHeight="1">
      <c r="A146" s="870" t="str">
        <f>paket</f>
        <v>Belanja Pemeliharaan Bangunan Gedung-Bangunan Gedung Tempat Kerja-Bangunan Gedung Kantor-Pemeliharaan Gedung Bertingkat</v>
      </c>
      <c r="B146" s="870"/>
      <c r="C146" s="870"/>
      <c r="D146" s="870"/>
      <c r="E146" s="870"/>
      <c r="F146" s="870"/>
      <c r="G146" s="870"/>
      <c r="H146" s="870"/>
      <c r="I146" s="870"/>
      <c r="J146" s="870"/>
      <c r="K146" s="870"/>
      <c r="L146" s="58"/>
      <c r="M146" s="69"/>
      <c r="N146" s="58"/>
    </row>
    <row r="147" spans="1:14" ht="15" customHeight="1">
      <c r="A147" s="870" t="str">
        <f>"Nomor: "&amp;Input!$D$102</f>
        <v>Nomor: 027/BAHP/A/IX/68/2023</v>
      </c>
      <c r="B147" s="870"/>
      <c r="C147" s="870"/>
      <c r="D147" s="870"/>
      <c r="E147" s="870"/>
      <c r="F147" s="870"/>
      <c r="G147" s="870"/>
      <c r="H147" s="870"/>
      <c r="I147" s="870"/>
      <c r="J147" s="870"/>
      <c r="K147" s="870"/>
      <c r="L147" s="58"/>
      <c r="M147" s="69"/>
      <c r="N147" s="58"/>
    </row>
    <row r="148" spans="1:14" customFormat="1" ht="5.25" customHeight="1">
      <c r="A148" s="59"/>
      <c r="B148" s="59"/>
      <c r="C148" s="59"/>
      <c r="D148" s="59"/>
      <c r="E148" s="59"/>
      <c r="F148" s="59"/>
      <c r="G148" s="59"/>
      <c r="H148" s="59"/>
      <c r="I148" s="59"/>
      <c r="J148" s="59"/>
      <c r="K148" s="59"/>
      <c r="L148" s="59"/>
      <c r="M148" s="69"/>
      <c r="N148" s="59"/>
    </row>
    <row r="149" spans="1:14" ht="15" customHeight="1">
      <c r="A149" s="884" t="str">
        <f>"Pada hari ini, "&amp;Input!$E$102&amp;", tanggal "&amp;Input!$H$102&amp;", kami yang bertandatangan di bawah ini:"</f>
        <v>Pada hari ini, Sabtu, tanggal 2 September 2023, kami yang bertandatangan di bawah ini:</v>
      </c>
      <c r="B149" s="884"/>
      <c r="C149" s="884"/>
      <c r="D149" s="884"/>
      <c r="E149" s="884"/>
      <c r="F149" s="884"/>
      <c r="G149" s="884"/>
      <c r="H149" s="884"/>
      <c r="I149" s="884"/>
      <c r="J149" s="884"/>
      <c r="K149" s="884"/>
    </row>
    <row r="150" spans="1:14" ht="5.25" customHeight="1">
      <c r="A150" s="60"/>
      <c r="B150" s="60"/>
      <c r="C150" s="27"/>
      <c r="D150" s="27"/>
      <c r="E150" s="27"/>
      <c r="F150" s="27"/>
      <c r="G150" s="27"/>
      <c r="H150" s="27"/>
      <c r="I150" s="27"/>
      <c r="J150" s="27"/>
      <c r="K150" s="72"/>
    </row>
    <row r="151" spans="1:14" ht="15" customHeight="1">
      <c r="A151" s="60" t="s">
        <v>37</v>
      </c>
      <c r="B151" s="60"/>
      <c r="C151" s="61" t="s">
        <v>2</v>
      </c>
      <c r="D151" s="60" t="str">
        <f>ppk_nama</f>
        <v>Ika Kurnia Mustika, ST, MT</v>
      </c>
      <c r="E151" s="60"/>
      <c r="F151" s="60"/>
      <c r="G151" s="60"/>
      <c r="H151" s="60"/>
      <c r="I151" s="60"/>
      <c r="J151" s="60"/>
      <c r="K151" s="72"/>
    </row>
    <row r="152" spans="1:14" ht="15" customHeight="1">
      <c r="A152" s="60" t="s">
        <v>41</v>
      </c>
      <c r="B152" s="60"/>
      <c r="C152" s="61" t="s">
        <v>2</v>
      </c>
      <c r="D152" s="60" t="str">
        <f>ppk_nip</f>
        <v>19791117 200901 1 006</v>
      </c>
      <c r="E152" s="60"/>
      <c r="F152" s="60"/>
      <c r="G152" s="60"/>
      <c r="H152" s="60"/>
      <c r="I152" s="60"/>
      <c r="J152" s="60"/>
      <c r="K152" s="72"/>
    </row>
    <row r="153" spans="1:14" ht="15" customHeight="1">
      <c r="A153" s="60" t="s">
        <v>50</v>
      </c>
      <c r="B153" s="60"/>
      <c r="C153" s="61" t="s">
        <v>2</v>
      </c>
      <c r="D153" s="60" t="str">
        <f>ppk_jab</f>
        <v>Pejabat Pembuat Komitmen</v>
      </c>
      <c r="E153" s="60"/>
      <c r="F153" s="60"/>
      <c r="G153" s="60"/>
      <c r="H153" s="60"/>
      <c r="I153" s="60"/>
      <c r="J153" s="60"/>
      <c r="K153" s="72"/>
    </row>
    <row r="154" spans="1:14" ht="15" customHeight="1">
      <c r="A154" s="60" t="s">
        <v>190</v>
      </c>
      <c r="B154" s="60"/>
      <c r="C154" s="61" t="s">
        <v>2</v>
      </c>
      <c r="D154" s="884" t="str">
        <f>opd_almt</f>
        <v>Jalan Pejanggik Nomor 14 Telp.( 0370 ) 627689, 625345 Fax: 627677</v>
      </c>
      <c r="E154" s="884"/>
      <c r="F154" s="884"/>
      <c r="G154" s="884"/>
      <c r="H154" s="884"/>
      <c r="I154" s="884"/>
      <c r="J154" s="884"/>
      <c r="K154" s="884"/>
    </row>
    <row r="155" spans="1:14" ht="5.25" customHeight="1">
      <c r="A155" s="60"/>
      <c r="B155" s="60"/>
      <c r="C155" s="60"/>
      <c r="D155" s="60"/>
      <c r="E155" s="60"/>
      <c r="F155" s="60"/>
      <c r="G155" s="60"/>
      <c r="H155" s="60"/>
      <c r="I155" s="60"/>
      <c r="J155" s="60"/>
      <c r="K155" s="72"/>
    </row>
    <row r="156" spans="1:14" ht="15" customHeight="1">
      <c r="A156" s="60" t="str">
        <f>"yang bertindak untuk dan atas nama "&amp;opd_nama&amp;";"</f>
        <v>yang bertindak untuk dan atas nama Badan Pengelolaan Keuangan dan Aset Daerah;</v>
      </c>
      <c r="B156" s="60"/>
      <c r="C156" s="60"/>
      <c r="D156" s="60"/>
      <c r="E156" s="60"/>
      <c r="F156" s="60"/>
      <c r="G156" s="60"/>
      <c r="H156" s="60"/>
      <c r="I156" s="60"/>
      <c r="J156" s="60"/>
      <c r="K156" s="72"/>
    </row>
    <row r="157" spans="1:14" ht="15" customHeight="1">
      <c r="A157" s="884" t="s">
        <v>1151</v>
      </c>
      <c r="B157" s="884"/>
      <c r="C157" s="884"/>
      <c r="D157" s="884"/>
      <c r="E157" s="884"/>
      <c r="F157" s="884"/>
      <c r="G157" s="884"/>
      <c r="H157" s="884"/>
      <c r="I157" s="884"/>
      <c r="J157" s="884"/>
      <c r="K157" s="884"/>
    </row>
    <row r="158" spans="1:14" ht="5.25" customHeight="1">
      <c r="A158" s="60"/>
      <c r="B158" s="60"/>
      <c r="C158" s="27"/>
      <c r="D158" s="27"/>
      <c r="E158" s="27"/>
      <c r="F158" s="27"/>
      <c r="G158" s="27"/>
      <c r="H158" s="27"/>
      <c r="I158" s="27"/>
      <c r="J158" s="27"/>
      <c r="K158" s="72"/>
    </row>
    <row r="159" spans="1:14" ht="15" customHeight="1">
      <c r="A159" s="60" t="s">
        <v>37</v>
      </c>
      <c r="B159" s="60"/>
      <c r="C159" s="61" t="s">
        <v>2</v>
      </c>
      <c r="D159" s="60" t="str">
        <f>bu_pimn</f>
        <v>Saripudin</v>
      </c>
      <c r="E159" s="27"/>
      <c r="F159" s="27"/>
      <c r="G159" s="27"/>
      <c r="H159" s="27"/>
      <c r="I159" s="27"/>
      <c r="J159" s="27"/>
      <c r="K159" s="72"/>
    </row>
    <row r="160" spans="1:14" ht="15" customHeight="1">
      <c r="A160" s="60" t="s">
        <v>50</v>
      </c>
      <c r="B160" s="60"/>
      <c r="C160" s="61" t="s">
        <v>2</v>
      </c>
      <c r="D160" s="60" t="str">
        <f>bu_pim</f>
        <v>Direktur</v>
      </c>
      <c r="E160" s="60"/>
      <c r="F160" s="60"/>
      <c r="G160" s="60"/>
      <c r="H160" s="60"/>
      <c r="I160" s="60"/>
      <c r="J160" s="60"/>
      <c r="K160" s="72"/>
    </row>
    <row r="161" spans="1:12" ht="15" customHeight="1">
      <c r="A161" s="60" t="s">
        <v>190</v>
      </c>
      <c r="B161" s="60"/>
      <c r="C161" s="61" t="s">
        <v>2</v>
      </c>
      <c r="D161" s="884" t="str">
        <f>bu_almt</f>
        <v>JL Meninting 13 No.. 22C BTN Kekalik, Kel. Pagesangan Barat, Kota Mataram, Provinsi Nusa Tenggara Barat</v>
      </c>
      <c r="E161" s="884"/>
      <c r="F161" s="884"/>
      <c r="G161" s="884"/>
      <c r="H161" s="884"/>
      <c r="I161" s="884"/>
      <c r="J161" s="884"/>
      <c r="K161" s="884"/>
    </row>
    <row r="162" spans="1:12" ht="5.25" customHeight="1">
      <c r="A162" s="60"/>
      <c r="B162" s="60"/>
      <c r="C162" s="60"/>
      <c r="D162" s="60"/>
      <c r="E162" s="60"/>
      <c r="F162" s="60"/>
      <c r="G162" s="60"/>
      <c r="H162" s="60"/>
      <c r="I162" s="60"/>
      <c r="J162" s="60"/>
      <c r="K162" s="72"/>
    </row>
    <row r="163" spans="1:12" ht="15" customHeight="1">
      <c r="A163" s="60" t="str">
        <f>"yang bertindak untuk dan atas nama "&amp;bu_nama&amp;";"</f>
        <v>yang bertindak untuk dan atas nama PT. DARUSSALAM MEDIA GROUP;</v>
      </c>
      <c r="B163" s="60"/>
      <c r="C163" s="60"/>
      <c r="D163" s="60"/>
      <c r="E163" s="60"/>
      <c r="F163" s="60"/>
      <c r="G163" s="60"/>
      <c r="H163" s="60"/>
      <c r="I163" s="60"/>
      <c r="J163" s="60"/>
      <c r="K163" s="72"/>
    </row>
    <row r="164" spans="1:12" ht="15" customHeight="1">
      <c r="A164" s="60" t="s">
        <v>1152</v>
      </c>
      <c r="B164" s="60"/>
      <c r="C164" s="27"/>
      <c r="D164" s="27"/>
      <c r="E164" s="27"/>
      <c r="F164" s="27"/>
      <c r="G164" s="27"/>
      <c r="H164" s="27"/>
      <c r="I164" s="27"/>
      <c r="J164" s="27"/>
      <c r="K164" s="72"/>
    </row>
    <row r="165" spans="1:12" ht="5.25" customHeight="1">
      <c r="A165" s="60"/>
      <c r="B165" s="60"/>
      <c r="C165" s="60"/>
      <c r="D165" s="60"/>
      <c r="E165" s="60"/>
      <c r="F165" s="60"/>
      <c r="G165" s="60"/>
      <c r="H165" s="60"/>
      <c r="I165" s="60"/>
      <c r="J165" s="60"/>
      <c r="K165" s="60"/>
    </row>
    <row r="166" spans="1:12" ht="15" customHeight="1">
      <c r="A166" s="884" t="str">
        <f>"Penyedia telah menyelesaikan pekerjaan dari PPK yaitu paket pekerjaan "&amp;paket&amp;" sesuai Surat Perintah Kerja (SPK) nomor "&amp;Input!$D$91&amp;" tanggal "&amp;Input!$H$91&amp;" sebagai berikut:"</f>
        <v>Penyedia telah menyelesaikan pekerjaan dari PPK yaitu paket pekerjaan Belanja Pemeliharaan Bangunan Gedung-Bangunan Gedung Tempat Kerja-Bangunan Gedung Kantor-Pemeliharaan Gedung Bertingkat sesuai Surat Perintah Kerja (SPK) nomor 027.1/1/SPK/BPKAD/2025 tanggal 3 Agustus 2023 sebagai berikut:</v>
      </c>
      <c r="B166" s="884"/>
      <c r="C166" s="884"/>
      <c r="D166" s="884"/>
      <c r="E166" s="884"/>
      <c r="F166" s="884"/>
      <c r="G166" s="884"/>
      <c r="H166" s="884"/>
      <c r="I166" s="884"/>
      <c r="J166" s="884"/>
      <c r="K166" s="884"/>
    </row>
    <row r="167" spans="1:12" ht="15" customHeight="1">
      <c r="A167" s="884"/>
      <c r="B167" s="884"/>
      <c r="C167" s="884"/>
      <c r="D167" s="884"/>
      <c r="E167" s="884"/>
      <c r="F167" s="884"/>
      <c r="G167" s="884"/>
      <c r="H167" s="884"/>
      <c r="I167" s="884"/>
      <c r="J167" s="884"/>
      <c r="K167" s="884"/>
    </row>
    <row r="168" spans="1:12" ht="15" customHeight="1">
      <c r="A168" s="884"/>
      <c r="B168" s="884"/>
      <c r="C168" s="884"/>
      <c r="D168" s="884"/>
      <c r="E168" s="884"/>
      <c r="F168" s="884"/>
      <c r="G168" s="884"/>
      <c r="H168" s="884"/>
      <c r="I168" s="884"/>
      <c r="J168" s="884"/>
      <c r="K168" s="884"/>
    </row>
    <row r="169" spans="1:12" ht="5.25" customHeight="1">
      <c r="A169" s="60"/>
      <c r="B169" s="60"/>
      <c r="C169" s="27"/>
      <c r="D169" s="27"/>
      <c r="E169" s="27"/>
      <c r="F169" s="27"/>
      <c r="G169" s="27"/>
      <c r="H169" s="27"/>
      <c r="I169" s="27"/>
      <c r="J169" s="27"/>
      <c r="K169" s="72"/>
    </row>
    <row r="170" spans="1:12" s="56" customFormat="1" ht="13.35" customHeight="1">
      <c r="B170" s="161" t="s">
        <v>258</v>
      </c>
      <c r="C170" s="1252" t="s">
        <v>298</v>
      </c>
      <c r="D170" s="1253"/>
      <c r="E170" s="1253"/>
      <c r="F170" s="1253"/>
      <c r="G170" s="1254"/>
      <c r="H170" s="161" t="s">
        <v>380</v>
      </c>
      <c r="I170" s="161" t="s">
        <v>381</v>
      </c>
      <c r="J170" s="1263" t="s">
        <v>1153</v>
      </c>
      <c r="K170" s="1264"/>
      <c r="L170" s="37"/>
    </row>
    <row r="171" spans="1:12" s="56" customFormat="1" ht="27" customHeight="1">
      <c r="B171" s="162">
        <v>1</v>
      </c>
      <c r="C171" s="1255" t="str">
        <f>PPK.HPS!B16</f>
        <v>PEKERJAAN PERSIAPAN</v>
      </c>
      <c r="D171" s="1256"/>
      <c r="E171" s="1256"/>
      <c r="F171" s="1256"/>
      <c r="G171" s="1257"/>
      <c r="H171" s="163">
        <f>PPK.HPS!F16</f>
        <v>0</v>
      </c>
      <c r="I171" s="837">
        <f>PPK.HPS!G16</f>
        <v>0</v>
      </c>
      <c r="J171" s="1266" t="s">
        <v>1154</v>
      </c>
      <c r="K171" s="1268"/>
      <c r="L171" s="37"/>
    </row>
    <row r="172" spans="1:12" s="56" customFormat="1" ht="13.35" customHeight="1">
      <c r="B172" s="162" t="str">
        <f>IF(AND(B171&lt;&gt;0,D172&lt;&gt;0),B171+1,"")</f>
        <v/>
      </c>
      <c r="C172" s="1258" t="str">
        <f>PPK.HPS!B17</f>
        <v>Pengukuran</v>
      </c>
      <c r="D172" s="1259"/>
      <c r="E172" s="1259"/>
      <c r="F172" s="1259"/>
      <c r="G172" s="1260"/>
      <c r="H172" s="163" t="str">
        <f>PPK.HPS!F17</f>
        <v>keg</v>
      </c>
      <c r="I172" s="837">
        <f>PPK.HPS!G17</f>
        <v>1</v>
      </c>
      <c r="J172" s="1269"/>
      <c r="K172" s="1271"/>
      <c r="L172" s="37"/>
    </row>
    <row r="173" spans="1:12" s="56" customFormat="1" ht="13.35" customHeight="1">
      <c r="B173" s="162" t="str">
        <f t="shared" ref="B173:B196" si="0">IF(AND(B172&lt;&gt;0,D173&lt;&gt;0),B172+1,"")</f>
        <v/>
      </c>
      <c r="C173" s="1258" t="str">
        <f>PPK.HPS!B18</f>
        <v>Pembersihan Lokasi</v>
      </c>
      <c r="D173" s="1259"/>
      <c r="E173" s="1259"/>
      <c r="F173" s="1259"/>
      <c r="G173" s="1260"/>
      <c r="H173" s="163" t="str">
        <f>PPK.HPS!F18</f>
        <v>keg</v>
      </c>
      <c r="I173" s="837">
        <f>PPK.HPS!G18</f>
        <v>1</v>
      </c>
      <c r="J173" s="1269"/>
      <c r="K173" s="1271"/>
      <c r="L173" s="37"/>
    </row>
    <row r="174" spans="1:12" s="56" customFormat="1" ht="13.35" customHeight="1">
      <c r="B174" s="162" t="str">
        <f t="shared" si="0"/>
        <v/>
      </c>
      <c r="C174" s="1258">
        <f>PPK.HPS!B19</f>
        <v>0</v>
      </c>
      <c r="D174" s="1259"/>
      <c r="E174" s="1259"/>
      <c r="F174" s="1259"/>
      <c r="G174" s="1260"/>
      <c r="H174" s="163">
        <f>PPK.HPS!F19</f>
        <v>0</v>
      </c>
      <c r="I174" s="837">
        <f>PPK.HPS!G19</f>
        <v>0</v>
      </c>
      <c r="J174" s="1269"/>
      <c r="K174" s="1271"/>
      <c r="L174" s="37"/>
    </row>
    <row r="175" spans="1:12" s="56" customFormat="1" ht="13.5" customHeight="1">
      <c r="B175" s="162" t="str">
        <f t="shared" si="0"/>
        <v/>
      </c>
      <c r="C175" s="1258" t="str">
        <f>PPK.HPS!B20</f>
        <v>SMK3 KONSTRUKSI</v>
      </c>
      <c r="D175" s="1259"/>
      <c r="E175" s="1259"/>
      <c r="F175" s="1259"/>
      <c r="G175" s="1260"/>
      <c r="H175" s="163">
        <f>PPK.HPS!F20</f>
        <v>0</v>
      </c>
      <c r="I175" s="837">
        <f>PPK.HPS!G20</f>
        <v>0</v>
      </c>
      <c r="J175" s="1269"/>
      <c r="K175" s="1271"/>
      <c r="L175" s="37"/>
    </row>
    <row r="176" spans="1:12" s="56" customFormat="1" ht="13.5" customHeight="1">
      <c r="B176" s="162" t="str">
        <f t="shared" si="0"/>
        <v/>
      </c>
      <c r="C176" s="1258" t="str">
        <f>PPK.HPS!B21</f>
        <v>Alat Pelindung Kerja dan Alat Pelindung Diri</v>
      </c>
      <c r="D176" s="1259"/>
      <c r="E176" s="1259"/>
      <c r="F176" s="1259"/>
      <c r="G176" s="1260"/>
      <c r="H176" s="163" t="str">
        <f>PPK.HPS!F21</f>
        <v>set</v>
      </c>
      <c r="I176" s="837">
        <f>PPK.HPS!G21</f>
        <v>5</v>
      </c>
      <c r="J176" s="1269"/>
      <c r="K176" s="1271"/>
      <c r="L176" s="37"/>
    </row>
    <row r="177" spans="2:12" s="56" customFormat="1" ht="13.5" customHeight="1">
      <c r="B177" s="162" t="str">
        <f t="shared" si="0"/>
        <v/>
      </c>
      <c r="C177" s="1258">
        <f>PPK.HPS!B22</f>
        <v>0</v>
      </c>
      <c r="D177" s="1259"/>
      <c r="E177" s="1259"/>
      <c r="F177" s="1259"/>
      <c r="G177" s="1260"/>
      <c r="H177" s="163">
        <f>PPK.HPS!F22</f>
        <v>0</v>
      </c>
      <c r="I177" s="837">
        <f>PPK.HPS!G22</f>
        <v>0</v>
      </c>
      <c r="J177" s="1269"/>
      <c r="K177" s="1271"/>
      <c r="L177" s="37"/>
    </row>
    <row r="178" spans="2:12" s="56" customFormat="1" ht="13.5" customHeight="1">
      <c r="B178" s="162" t="str">
        <f t="shared" si="0"/>
        <v/>
      </c>
      <c r="C178" s="1258" t="str">
        <f>PPK.HPS!B23</f>
        <v>PEKERJAAN PENGECATAN</v>
      </c>
      <c r="D178" s="1259"/>
      <c r="E178" s="1259"/>
      <c r="F178" s="1259"/>
      <c r="G178" s="1260"/>
      <c r="H178" s="163">
        <f>PPK.HPS!F23</f>
        <v>0</v>
      </c>
      <c r="I178" s="837">
        <f>PPK.HPS!G23</f>
        <v>0</v>
      </c>
      <c r="J178" s="1269"/>
      <c r="K178" s="1271"/>
      <c r="L178" s="37"/>
    </row>
    <row r="179" spans="2:12" s="56" customFormat="1" ht="13.5" customHeight="1">
      <c r="B179" s="162" t="str">
        <f t="shared" si="0"/>
        <v/>
      </c>
      <c r="C179" s="1258" t="str">
        <f>PPK.HPS!B24</f>
        <v>Sewa stager</v>
      </c>
      <c r="D179" s="1259"/>
      <c r="E179" s="1259"/>
      <c r="F179" s="1259"/>
      <c r="G179" s="1260"/>
      <c r="H179" s="163" t="str">
        <f>PPK.HPS!F24</f>
        <v>keg</v>
      </c>
      <c r="I179" s="837">
        <f>PPK.HPS!G24</f>
        <v>1</v>
      </c>
      <c r="J179" s="1269"/>
      <c r="K179" s="1271"/>
      <c r="L179" s="37"/>
    </row>
    <row r="180" spans="2:12" s="56" customFormat="1" ht="13.5" customHeight="1">
      <c r="B180" s="162" t="str">
        <f t="shared" si="0"/>
        <v/>
      </c>
      <c r="C180" s="1258" t="str">
        <f>PPK.HPS!B25</f>
        <v xml:space="preserve">Pengerokan cat yang terkelupas </v>
      </c>
      <c r="D180" s="1259"/>
      <c r="E180" s="1259"/>
      <c r="F180" s="1259"/>
      <c r="G180" s="1260"/>
      <c r="H180" s="163" t="str">
        <f>PPK.HPS!F25</f>
        <v>m2</v>
      </c>
      <c r="I180" s="837">
        <f>PPK.HPS!G25</f>
        <v>168.58</v>
      </c>
      <c r="J180" s="1269"/>
      <c r="K180" s="1271"/>
      <c r="L180" s="37"/>
    </row>
    <row r="181" spans="2:12" s="56" customFormat="1" ht="13.5" customHeight="1">
      <c r="B181" s="162" t="str">
        <f t="shared" si="0"/>
        <v/>
      </c>
      <c r="C181" s="1258" t="str">
        <f>PPK.HPS!B26</f>
        <v>Pengecatan ulang dinding luar</v>
      </c>
      <c r="D181" s="1259"/>
      <c r="E181" s="1259"/>
      <c r="F181" s="1259"/>
      <c r="G181" s="1260"/>
      <c r="H181" s="163" t="str">
        <f>PPK.HPS!F26</f>
        <v>m2</v>
      </c>
      <c r="I181" s="837">
        <f>PPK.HPS!G26</f>
        <v>842.91</v>
      </c>
      <c r="J181" s="1269"/>
      <c r="K181" s="1271"/>
      <c r="L181" s="37"/>
    </row>
    <row r="182" spans="2:12" s="56" customFormat="1" ht="13.5" customHeight="1">
      <c r="B182" s="162" t="str">
        <f t="shared" si="0"/>
        <v/>
      </c>
      <c r="C182" s="1258" t="str">
        <f>PPK.HPS!B27</f>
        <v>Pengecatan ACP dengan cat besi</v>
      </c>
      <c r="D182" s="1259"/>
      <c r="E182" s="1259"/>
      <c r="F182" s="1259"/>
      <c r="G182" s="1260"/>
      <c r="H182" s="163" t="str">
        <f>PPK.HPS!F27</f>
        <v>m2</v>
      </c>
      <c r="I182" s="837">
        <f>PPK.HPS!G27</f>
        <v>419</v>
      </c>
      <c r="J182" s="1269"/>
      <c r="K182" s="1271"/>
      <c r="L182" s="37"/>
    </row>
    <row r="183" spans="2:12" s="56" customFormat="1" ht="13.5" customHeight="1">
      <c r="B183" s="162" t="str">
        <f t="shared" si="0"/>
        <v/>
      </c>
      <c r="C183" s="1258">
        <f>PPK.HPS!B28</f>
        <v>0</v>
      </c>
      <c r="D183" s="1259"/>
      <c r="E183" s="1259"/>
      <c r="F183" s="1259"/>
      <c r="G183" s="1260"/>
      <c r="H183" s="163">
        <f>PPK.HPS!F28</f>
        <v>0</v>
      </c>
      <c r="I183" s="837">
        <f>PPK.HPS!G28</f>
        <v>0</v>
      </c>
      <c r="J183" s="1269"/>
      <c r="K183" s="1271"/>
      <c r="L183" s="37"/>
    </row>
    <row r="184" spans="2:12" s="56" customFormat="1" ht="13.5" customHeight="1">
      <c r="B184" s="162" t="str">
        <f t="shared" si="0"/>
        <v/>
      </c>
      <c r="C184" s="1258">
        <f>PPK.HPS!B29</f>
        <v>0</v>
      </c>
      <c r="D184" s="1259"/>
      <c r="E184" s="1259"/>
      <c r="F184" s="1259"/>
      <c r="G184" s="1260"/>
      <c r="H184" s="163">
        <f>PPK.HPS!F29</f>
        <v>0</v>
      </c>
      <c r="I184" s="837">
        <f>PPK.HPS!G29</f>
        <v>0</v>
      </c>
      <c r="J184" s="1269"/>
      <c r="K184" s="1271"/>
      <c r="L184" s="37"/>
    </row>
    <row r="185" spans="2:12" s="56" customFormat="1" ht="13.5" customHeight="1">
      <c r="B185" s="162" t="str">
        <f t="shared" si="0"/>
        <v/>
      </c>
      <c r="C185" s="1258">
        <f>PPK.HPS!B30</f>
        <v>0</v>
      </c>
      <c r="D185" s="1259"/>
      <c r="E185" s="1259"/>
      <c r="F185" s="1259"/>
      <c r="G185" s="1260"/>
      <c r="H185" s="163">
        <f>PPK.HPS!F30</f>
        <v>0</v>
      </c>
      <c r="I185" s="837">
        <f>PPK.HPS!G30</f>
        <v>0</v>
      </c>
      <c r="J185" s="1269"/>
      <c r="K185" s="1271"/>
      <c r="L185" s="37"/>
    </row>
    <row r="186" spans="2:12" s="56" customFormat="1" ht="13.5" customHeight="1">
      <c r="B186" s="162" t="str">
        <f t="shared" si="0"/>
        <v/>
      </c>
      <c r="C186" s="1258">
        <f>PPK.HPS!B31</f>
        <v>0</v>
      </c>
      <c r="D186" s="1259"/>
      <c r="E186" s="1259"/>
      <c r="F186" s="1259"/>
      <c r="G186" s="1260"/>
      <c r="H186" s="163">
        <f>PPK.HPS!F31</f>
        <v>0</v>
      </c>
      <c r="I186" s="837">
        <f>PPK.HPS!G31</f>
        <v>0</v>
      </c>
      <c r="J186" s="1269"/>
      <c r="K186" s="1271"/>
      <c r="L186" s="37"/>
    </row>
    <row r="187" spans="2:12" s="56" customFormat="1" ht="13.5" customHeight="1">
      <c r="B187" s="162" t="str">
        <f t="shared" si="0"/>
        <v/>
      </c>
      <c r="C187" s="1258">
        <f>PPK.HPS!B32</f>
        <v>0</v>
      </c>
      <c r="D187" s="1259"/>
      <c r="E187" s="1259"/>
      <c r="F187" s="1259"/>
      <c r="G187" s="1260"/>
      <c r="H187" s="163">
        <f>PPK.HPS!F32</f>
        <v>0</v>
      </c>
      <c r="I187" s="837">
        <f>PPK.HPS!G32</f>
        <v>0</v>
      </c>
      <c r="J187" s="1269"/>
      <c r="K187" s="1271"/>
      <c r="L187" s="37"/>
    </row>
    <row r="188" spans="2:12" s="56" customFormat="1" ht="13.5" customHeight="1">
      <c r="B188" s="162"/>
      <c r="C188" s="1258">
        <f>PPK.HPS!B33</f>
        <v>0</v>
      </c>
      <c r="D188" s="1259"/>
      <c r="E188" s="1259"/>
      <c r="F188" s="1259"/>
      <c r="G188" s="1260"/>
      <c r="H188" s="163">
        <f>PPK.HPS!F33</f>
        <v>0</v>
      </c>
      <c r="I188" s="837">
        <f>PPK.HPS!G33</f>
        <v>0</v>
      </c>
      <c r="J188" s="1276"/>
      <c r="K188" s="1277"/>
      <c r="L188" s="37"/>
    </row>
    <row r="189" spans="2:12" s="56" customFormat="1" ht="13.5" customHeight="1">
      <c r="B189" s="162"/>
      <c r="C189" s="1258">
        <f>PPK.HPS!B34</f>
        <v>0</v>
      </c>
      <c r="D189" s="1259"/>
      <c r="E189" s="1259"/>
      <c r="F189" s="1259"/>
      <c r="G189" s="1260"/>
      <c r="H189" s="163">
        <f>PPK.HPS!F34</f>
        <v>0</v>
      </c>
      <c r="I189" s="837">
        <f>PPK.HPS!G34</f>
        <v>0</v>
      </c>
      <c r="J189" s="1276"/>
      <c r="K189" s="1277"/>
      <c r="L189" s="37"/>
    </row>
    <row r="190" spans="2:12" s="56" customFormat="1" ht="13.5" customHeight="1">
      <c r="B190" s="162"/>
      <c r="C190" s="1258">
        <f>PPK.HPS!B35</f>
        <v>0</v>
      </c>
      <c r="D190" s="1259"/>
      <c r="E190" s="1259"/>
      <c r="F190" s="1259"/>
      <c r="G190" s="1260"/>
      <c r="H190" s="163">
        <f>PPK.HPS!F35</f>
        <v>0</v>
      </c>
      <c r="I190" s="837">
        <f>PPK.HPS!G35</f>
        <v>0</v>
      </c>
      <c r="J190" s="1276"/>
      <c r="K190" s="1277"/>
      <c r="L190" s="37"/>
    </row>
    <row r="191" spans="2:12" s="56" customFormat="1" ht="13.5" customHeight="1">
      <c r="B191" s="162"/>
      <c r="C191" s="1258">
        <f>PPK.HPS!B36</f>
        <v>0</v>
      </c>
      <c r="D191" s="1259"/>
      <c r="E191" s="1259"/>
      <c r="F191" s="1259"/>
      <c r="G191" s="1260"/>
      <c r="H191" s="163">
        <f>PPK.HPS!F36</f>
        <v>0</v>
      </c>
      <c r="I191" s="837">
        <f>PPK.HPS!G36</f>
        <v>0</v>
      </c>
      <c r="J191" s="1276"/>
      <c r="K191" s="1277"/>
      <c r="L191" s="37"/>
    </row>
    <row r="192" spans="2:12" s="56" customFormat="1" ht="13.5" customHeight="1">
      <c r="B192" s="162"/>
      <c r="C192" s="1258">
        <f>PPK.HPS!B37</f>
        <v>0</v>
      </c>
      <c r="D192" s="1259"/>
      <c r="E192" s="1259"/>
      <c r="F192" s="1259"/>
      <c r="G192" s="1260"/>
      <c r="H192" s="163">
        <f>PPK.HPS!F37</f>
        <v>0</v>
      </c>
      <c r="I192" s="837">
        <f>PPK.HPS!G37</f>
        <v>0</v>
      </c>
      <c r="J192" s="1276"/>
      <c r="K192" s="1277"/>
      <c r="L192" s="37"/>
    </row>
    <row r="193" spans="1:14" s="56" customFormat="1" ht="13.5" customHeight="1">
      <c r="B193" s="162"/>
      <c r="C193" s="1258">
        <f>PPK.HPS!B38</f>
        <v>0</v>
      </c>
      <c r="D193" s="1259"/>
      <c r="E193" s="1259"/>
      <c r="F193" s="1259"/>
      <c r="G193" s="1260"/>
      <c r="H193" s="163">
        <f>PPK.HPS!F38</f>
        <v>0</v>
      </c>
      <c r="I193" s="837">
        <f>PPK.HPS!G38</f>
        <v>0</v>
      </c>
      <c r="J193" s="1276"/>
      <c r="K193" s="1277"/>
      <c r="L193" s="37"/>
    </row>
    <row r="194" spans="1:14" s="56" customFormat="1" ht="13.5" customHeight="1">
      <c r="B194" s="162" t="str">
        <f>IF(AND(B187&lt;&gt;0,D194&lt;&gt;0),B187+1,"")</f>
        <v/>
      </c>
      <c r="C194" s="1258">
        <f>PPK.HPS!B39</f>
        <v>0</v>
      </c>
      <c r="D194" s="1259"/>
      <c r="E194" s="1259"/>
      <c r="F194" s="1259"/>
      <c r="G194" s="1260"/>
      <c r="H194" s="163">
        <f>PPK.HPS!F39</f>
        <v>0</v>
      </c>
      <c r="I194" s="837">
        <f>PPK.HPS!G39</f>
        <v>0</v>
      </c>
      <c r="J194" s="1269"/>
      <c r="K194" s="1271"/>
      <c r="L194" s="37"/>
    </row>
    <row r="195" spans="1:14" s="56" customFormat="1" ht="13.5" customHeight="1">
      <c r="B195" s="162" t="str">
        <f t="shared" si="0"/>
        <v/>
      </c>
      <c r="C195" s="1258">
        <f>PPK.HPS!B40</f>
        <v>0</v>
      </c>
      <c r="D195" s="1259"/>
      <c r="E195" s="1259"/>
      <c r="F195" s="1259"/>
      <c r="G195" s="1260"/>
      <c r="H195" s="163">
        <f>PPK.HPS!F40</f>
        <v>0</v>
      </c>
      <c r="I195" s="837">
        <f>PPK.HPS!G40</f>
        <v>0</v>
      </c>
      <c r="J195" s="1269"/>
      <c r="K195" s="1271"/>
      <c r="L195" s="37"/>
    </row>
    <row r="196" spans="1:14" s="56" customFormat="1" ht="13.5" customHeight="1">
      <c r="B196" s="168" t="str">
        <f t="shared" si="0"/>
        <v/>
      </c>
      <c r="C196" s="1278">
        <f>PPK.HPS!B41</f>
        <v>0</v>
      </c>
      <c r="D196" s="1279"/>
      <c r="E196" s="1279"/>
      <c r="F196" s="1279"/>
      <c r="G196" s="1280"/>
      <c r="H196" s="169">
        <f>PPK.HPS!F41</f>
        <v>0</v>
      </c>
      <c r="I196" s="838">
        <f>PPK.HPS!G41</f>
        <v>0</v>
      </c>
      <c r="J196" s="1272"/>
      <c r="K196" s="1274"/>
      <c r="L196" s="37"/>
    </row>
    <row r="197" spans="1:14" s="56" customFormat="1" ht="13.5" customHeight="1">
      <c r="B197" s="37"/>
      <c r="C197" s="37"/>
      <c r="D197" s="64"/>
      <c r="E197" s="64"/>
      <c r="F197" s="170"/>
      <c r="G197" s="170"/>
      <c r="H197" s="170"/>
      <c r="I197" s="170"/>
      <c r="J197" s="170"/>
      <c r="K197" s="170"/>
      <c r="L197" s="170"/>
      <c r="M197" s="37"/>
    </row>
    <row r="198" spans="1:14" ht="13.5" customHeight="1">
      <c r="A198" s="60" t="s">
        <v>1155</v>
      </c>
      <c r="B198" s="60"/>
      <c r="C198" s="60"/>
      <c r="D198" s="60"/>
      <c r="E198" s="60"/>
      <c r="F198" s="60"/>
      <c r="G198" s="60"/>
      <c r="H198" s="60"/>
      <c r="I198" s="60"/>
      <c r="J198" s="60"/>
      <c r="K198" s="60"/>
    </row>
    <row r="199" spans="1:14" s="56" customFormat="1" ht="15" customHeight="1">
      <c r="B199" s="37"/>
      <c r="C199" s="37"/>
      <c r="D199" s="44"/>
      <c r="E199" s="64"/>
      <c r="F199" s="63"/>
      <c r="G199" s="63"/>
      <c r="H199" s="44"/>
      <c r="I199" s="44"/>
      <c r="J199" s="73"/>
      <c r="K199" s="74"/>
      <c r="L199" s="74"/>
      <c r="M199" s="37"/>
    </row>
    <row r="200" spans="1:14" s="56" customFormat="1" ht="15" customHeight="1">
      <c r="B200" s="37"/>
      <c r="C200" s="37"/>
      <c r="D200" s="44" t="s">
        <v>163</v>
      </c>
      <c r="E200" s="64"/>
      <c r="F200" s="63"/>
      <c r="G200" s="63"/>
      <c r="H200" s="44"/>
      <c r="I200" s="44" t="s">
        <v>1149</v>
      </c>
      <c r="J200" s="73"/>
      <c r="K200" s="74"/>
      <c r="L200" s="74"/>
      <c r="M200" s="37"/>
    </row>
    <row r="201" spans="1:14" s="56" customFormat="1" ht="15" customHeight="1">
      <c r="B201" s="37"/>
      <c r="C201" s="37"/>
      <c r="D201" s="64"/>
      <c r="E201" s="64"/>
      <c r="F201" s="63"/>
      <c r="G201" s="63"/>
      <c r="H201" s="44"/>
      <c r="I201" s="44"/>
      <c r="J201" s="73"/>
      <c r="K201" s="74"/>
      <c r="L201" s="74"/>
      <c r="M201" s="37"/>
    </row>
    <row r="202" spans="1:14" s="56" customFormat="1" ht="15" customHeight="1">
      <c r="B202" s="37"/>
      <c r="C202" s="37"/>
      <c r="D202" s="64"/>
      <c r="E202" s="64"/>
      <c r="F202" s="63"/>
      <c r="G202" s="63"/>
      <c r="H202" s="44"/>
      <c r="I202" s="44"/>
      <c r="J202" s="73"/>
      <c r="K202" s="74"/>
      <c r="L202" s="74"/>
      <c r="M202" s="37"/>
    </row>
    <row r="203" spans="1:14" s="56" customFormat="1" ht="15" customHeight="1">
      <c r="B203" s="37"/>
      <c r="C203" s="37"/>
      <c r="D203" s="64"/>
      <c r="E203" s="64"/>
      <c r="F203" s="63"/>
      <c r="G203" s="63"/>
      <c r="H203" s="44"/>
      <c r="I203" s="44"/>
      <c r="J203" s="73"/>
      <c r="K203" s="74"/>
      <c r="L203" s="74"/>
      <c r="M203" s="37"/>
    </row>
    <row r="204" spans="1:14" s="56" customFormat="1" ht="15" customHeight="1">
      <c r="B204" s="37"/>
      <c r="C204" s="37"/>
      <c r="D204" s="65" t="str">
        <f>bu_pimn</f>
        <v>Saripudin</v>
      </c>
      <c r="E204" s="64"/>
      <c r="F204" s="63"/>
      <c r="G204" s="63"/>
      <c r="H204" s="44"/>
      <c r="I204" s="65" t="str">
        <f>ppk_nama</f>
        <v>Ika Kurnia Mustika, ST, MT</v>
      </c>
      <c r="J204" s="73"/>
      <c r="K204" s="74"/>
      <c r="L204" s="74"/>
      <c r="M204" s="37"/>
    </row>
    <row r="205" spans="1:14" s="56" customFormat="1" ht="15" customHeight="1">
      <c r="B205" s="37"/>
      <c r="C205" s="37"/>
      <c r="D205" s="44" t="str">
        <f>bu_pim&amp;" "&amp;bu_nama</f>
        <v>Direktur PT. DARUSSALAM MEDIA GROUP</v>
      </c>
      <c r="E205" s="64"/>
      <c r="F205" s="63"/>
      <c r="G205" s="63"/>
      <c r="H205" s="44"/>
      <c r="I205" s="44" t="str">
        <f>"NIP. "&amp;ppk_nip</f>
        <v>NIP. 19791117 200901 1 006</v>
      </c>
      <c r="J205" s="73"/>
      <c r="K205" s="74"/>
      <c r="L205" s="74"/>
      <c r="M205" s="37"/>
    </row>
    <row r="206" spans="1:14" ht="5.25" customHeight="1">
      <c r="A206" s="60"/>
      <c r="B206" s="60"/>
      <c r="C206" s="60"/>
      <c r="D206" s="60"/>
      <c r="E206" s="60"/>
      <c r="F206" s="60"/>
      <c r="G206" s="60"/>
      <c r="H206" s="60"/>
      <c r="I206" s="60"/>
      <c r="J206" s="60"/>
      <c r="K206" s="60"/>
    </row>
    <row r="207" spans="1:14" ht="5.25" customHeight="1">
      <c r="A207" s="60"/>
      <c r="B207" s="60"/>
      <c r="C207" s="60"/>
      <c r="D207" s="60"/>
      <c r="E207" s="60"/>
      <c r="F207" s="60"/>
      <c r="G207" s="60"/>
      <c r="H207" s="60"/>
      <c r="I207" s="60"/>
      <c r="J207" s="60"/>
      <c r="K207" s="60"/>
    </row>
    <row r="208" spans="1:14" ht="17.850000000000001" customHeight="1">
      <c r="A208" s="869" t="s">
        <v>1156</v>
      </c>
      <c r="B208" s="869"/>
      <c r="C208" s="869"/>
      <c r="D208" s="869"/>
      <c r="E208" s="869"/>
      <c r="F208" s="869"/>
      <c r="G208" s="869"/>
      <c r="H208" s="869"/>
      <c r="I208" s="869"/>
      <c r="J208" s="869"/>
      <c r="K208" s="869"/>
      <c r="L208" s="70"/>
      <c r="M208" s="69"/>
      <c r="N208" s="70"/>
    </row>
    <row r="209" spans="1:14" ht="15" customHeight="1">
      <c r="A209" s="870" t="str">
        <f>paket</f>
        <v>Belanja Pemeliharaan Bangunan Gedung-Bangunan Gedung Tempat Kerja-Bangunan Gedung Kantor-Pemeliharaan Gedung Bertingkat</v>
      </c>
      <c r="B209" s="870"/>
      <c r="C209" s="870"/>
      <c r="D209" s="870"/>
      <c r="E209" s="870"/>
      <c r="F209" s="870"/>
      <c r="G209" s="870"/>
      <c r="H209" s="870"/>
      <c r="I209" s="870"/>
      <c r="J209" s="870"/>
      <c r="K209" s="870"/>
      <c r="L209" s="58"/>
      <c r="M209" s="69"/>
      <c r="N209" s="58"/>
    </row>
    <row r="210" spans="1:14" ht="15" customHeight="1">
      <c r="A210" s="870" t="str">
        <f>"Nomor: "&amp;Input!D103</f>
        <v>Nomor: 027.3/17/STHP/BPKAD/2024</v>
      </c>
      <c r="B210" s="870"/>
      <c r="C210" s="870"/>
      <c r="D210" s="870"/>
      <c r="E210" s="870"/>
      <c r="F210" s="870"/>
      <c r="G210" s="870"/>
      <c r="H210" s="870"/>
      <c r="I210" s="870"/>
      <c r="J210" s="870"/>
      <c r="K210" s="870"/>
      <c r="L210" s="58"/>
      <c r="M210" s="69"/>
      <c r="N210" s="58"/>
    </row>
    <row r="211" spans="1:14" customFormat="1" ht="5.25" customHeight="1">
      <c r="A211" s="59"/>
      <c r="B211" s="59"/>
      <c r="C211" s="59"/>
      <c r="D211" s="59"/>
      <c r="E211" s="59"/>
      <c r="F211" s="59"/>
      <c r="G211" s="59"/>
      <c r="H211" s="59"/>
      <c r="I211" s="59"/>
      <c r="J211" s="59"/>
      <c r="K211" s="59"/>
      <c r="L211" s="59"/>
      <c r="M211" s="69"/>
      <c r="N211" s="59"/>
    </row>
    <row r="212" spans="1:14" ht="15" customHeight="1">
      <c r="A212" s="884" t="str">
        <f>"Pada hari ini, "&amp;Input!$E$103&amp;", tanggal "&amp;Input!$H$103&amp;", bertempat di "&amp;Input!$D$18&amp;", berdasarkan Surat Perintah Kerja (SPK) nomor "&amp;Input!$D$91&amp;" tanggal "&amp;Input!$H$91&amp;", telah diadakan Serah Terima hasil pekerjaan "&amp;paket&amp;" antara:"</f>
        <v>Pada hari ini, Sabtu, tanggal 2 September 2023, bertempat di Kantor Badan Pengelolaan Keuangan dan Aset Daerah Jalan Pejanggik Nomor 14 Telp.( 0370 ) 627689, 625345 Fax: 627677, berdasarkan Surat Perintah Kerja (SPK) nomor 027.1/1/SPK/BPKAD/2025 tanggal 3 Agustus 2023, telah diadakan Serah Terima hasil pekerjaan Belanja Pemeliharaan Bangunan Gedung-Bangunan Gedung Tempat Kerja-Bangunan Gedung Kantor-Pemeliharaan Gedung Bertingkat antara:</v>
      </c>
      <c r="B212" s="884"/>
      <c r="C212" s="884"/>
      <c r="D212" s="884"/>
      <c r="E212" s="884"/>
      <c r="F212" s="884"/>
      <c r="G212" s="884"/>
      <c r="H212" s="884"/>
      <c r="I212" s="884"/>
      <c r="J212" s="884"/>
      <c r="K212" s="884"/>
    </row>
    <row r="213" spans="1:14" ht="15" customHeight="1">
      <c r="A213" s="884"/>
      <c r="B213" s="884"/>
      <c r="C213" s="884"/>
      <c r="D213" s="884"/>
      <c r="E213" s="884"/>
      <c r="F213" s="884"/>
      <c r="G213" s="884"/>
      <c r="H213" s="884"/>
      <c r="I213" s="884"/>
      <c r="J213" s="884"/>
      <c r="K213" s="884"/>
    </row>
    <row r="214" spans="1:14" ht="15" customHeight="1">
      <c r="A214" s="884"/>
      <c r="B214" s="884"/>
      <c r="C214" s="884"/>
      <c r="D214" s="884"/>
      <c r="E214" s="884"/>
      <c r="F214" s="884"/>
      <c r="G214" s="884"/>
      <c r="H214" s="884"/>
      <c r="I214" s="884"/>
      <c r="J214" s="884"/>
      <c r="K214" s="884"/>
    </row>
    <row r="215" spans="1:14" ht="15" customHeight="1">
      <c r="A215" s="884"/>
      <c r="B215" s="884"/>
      <c r="C215" s="884"/>
      <c r="D215" s="884"/>
      <c r="E215" s="884"/>
      <c r="F215" s="884"/>
      <c r="G215" s="884"/>
      <c r="H215" s="884"/>
      <c r="I215" s="884"/>
      <c r="J215" s="884"/>
      <c r="K215" s="884"/>
    </row>
    <row r="216" spans="1:14" ht="5.25" customHeight="1">
      <c r="A216" s="60"/>
      <c r="B216" s="60"/>
      <c r="C216" s="27"/>
      <c r="D216" s="27"/>
      <c r="E216" s="27"/>
      <c r="F216" s="27"/>
      <c r="G216" s="27"/>
      <c r="H216" s="27"/>
      <c r="I216" s="27"/>
      <c r="J216" s="27"/>
      <c r="K216" s="72"/>
    </row>
    <row r="217" spans="1:14" ht="15" customHeight="1">
      <c r="A217" s="60" t="s">
        <v>37</v>
      </c>
      <c r="B217" s="60"/>
      <c r="C217" s="61" t="s">
        <v>2</v>
      </c>
      <c r="D217" s="60" t="str">
        <f>ppk_nama</f>
        <v>Ika Kurnia Mustika, ST, MT</v>
      </c>
      <c r="E217" s="60"/>
      <c r="F217" s="60"/>
      <c r="G217" s="60"/>
      <c r="H217" s="60"/>
      <c r="I217" s="60"/>
      <c r="J217" s="60"/>
      <c r="K217" s="72"/>
    </row>
    <row r="218" spans="1:14" ht="15" customHeight="1">
      <c r="A218" s="60" t="s">
        <v>41</v>
      </c>
      <c r="B218" s="60"/>
      <c r="C218" s="61" t="s">
        <v>2</v>
      </c>
      <c r="D218" s="60" t="str">
        <f>ppk_nip</f>
        <v>19791117 200901 1 006</v>
      </c>
      <c r="E218" s="60"/>
      <c r="F218" s="60"/>
      <c r="G218" s="60"/>
      <c r="H218" s="60"/>
      <c r="I218" s="60"/>
      <c r="J218" s="60"/>
      <c r="K218" s="72"/>
    </row>
    <row r="219" spans="1:14" ht="15" customHeight="1">
      <c r="A219" s="60" t="s">
        <v>50</v>
      </c>
      <c r="B219" s="60"/>
      <c r="C219" s="61" t="s">
        <v>2</v>
      </c>
      <c r="D219" s="60" t="str">
        <f>ppk_jab</f>
        <v>Pejabat Pembuat Komitmen</v>
      </c>
      <c r="E219" s="60"/>
      <c r="F219" s="60"/>
      <c r="G219" s="60"/>
      <c r="H219" s="60"/>
      <c r="I219" s="60"/>
      <c r="J219" s="60"/>
      <c r="K219" s="72"/>
    </row>
    <row r="220" spans="1:14" ht="5.25" customHeight="1">
      <c r="A220" s="60"/>
      <c r="B220" s="60"/>
      <c r="C220" s="60"/>
      <c r="D220" s="60"/>
      <c r="E220" s="60"/>
      <c r="F220" s="60"/>
      <c r="G220" s="60"/>
      <c r="H220" s="60"/>
      <c r="I220" s="60"/>
      <c r="J220" s="60"/>
      <c r="K220" s="72"/>
    </row>
    <row r="221" spans="1:14" ht="15" customHeight="1">
      <c r="A221" s="60" t="str">
        <f>"yang bertindak untuk dan atas nama "&amp;opd_nama&amp;";"</f>
        <v>yang bertindak untuk dan atas nama Badan Pengelolaan Keuangan dan Aset Daerah;</v>
      </c>
      <c r="B221" s="60"/>
      <c r="C221" s="60"/>
      <c r="D221" s="60"/>
      <c r="E221" s="60"/>
      <c r="F221" s="60"/>
      <c r="G221" s="60"/>
      <c r="H221" s="60"/>
      <c r="I221" s="60"/>
      <c r="J221" s="60"/>
      <c r="K221" s="72"/>
    </row>
    <row r="222" spans="1:14" ht="15" customHeight="1">
      <c r="A222" s="884" t="s">
        <v>1151</v>
      </c>
      <c r="B222" s="884"/>
      <c r="C222" s="884"/>
      <c r="D222" s="884"/>
      <c r="E222" s="884"/>
      <c r="F222" s="884"/>
      <c r="G222" s="884"/>
      <c r="H222" s="884"/>
      <c r="I222" s="884"/>
      <c r="J222" s="884"/>
      <c r="K222" s="884"/>
    </row>
    <row r="223" spans="1:14" ht="5.25" customHeight="1">
      <c r="A223" s="60"/>
      <c r="B223" s="60"/>
      <c r="C223" s="27"/>
      <c r="D223" s="27"/>
      <c r="E223" s="27"/>
      <c r="F223" s="27"/>
      <c r="G223" s="27"/>
      <c r="H223" s="27"/>
      <c r="I223" s="27"/>
      <c r="J223" s="27"/>
      <c r="K223" s="72"/>
    </row>
    <row r="224" spans="1:14" ht="15" customHeight="1">
      <c r="A224" s="60" t="s">
        <v>37</v>
      </c>
      <c r="B224" s="60"/>
      <c r="C224" s="61" t="s">
        <v>2</v>
      </c>
      <c r="D224" s="60" t="str">
        <f>bu_pimn</f>
        <v>Saripudin</v>
      </c>
      <c r="E224" s="27"/>
      <c r="F224" s="27"/>
      <c r="G224" s="27"/>
      <c r="H224" s="27"/>
      <c r="I224" s="27"/>
      <c r="J224" s="27"/>
      <c r="K224" s="72"/>
    </row>
    <row r="225" spans="1:12" ht="15" customHeight="1">
      <c r="A225" s="60" t="s">
        <v>50</v>
      </c>
      <c r="B225" s="60"/>
      <c r="C225" s="61" t="s">
        <v>2</v>
      </c>
      <c r="D225" s="60" t="str">
        <f>bu_pim</f>
        <v>Direktur</v>
      </c>
      <c r="E225" s="60"/>
      <c r="F225" s="60"/>
      <c r="G225" s="60"/>
      <c r="H225" s="60"/>
      <c r="I225" s="60"/>
      <c r="J225" s="60"/>
      <c r="K225" s="72"/>
    </row>
    <row r="226" spans="1:12" ht="5.25" customHeight="1">
      <c r="A226" s="60"/>
      <c r="B226" s="60"/>
      <c r="C226" s="60"/>
      <c r="D226" s="60"/>
      <c r="E226" s="60"/>
      <c r="F226" s="60"/>
      <c r="G226" s="60"/>
      <c r="H226" s="60"/>
      <c r="I226" s="60"/>
      <c r="J226" s="60"/>
      <c r="K226" s="72"/>
    </row>
    <row r="227" spans="1:12" ht="15" customHeight="1">
      <c r="A227" s="60" t="str">
        <f>"yang bertindak untuk dan atas nama "&amp;bu_nama&amp;";"</f>
        <v>yang bertindak untuk dan atas nama PT. DARUSSALAM MEDIA GROUP;</v>
      </c>
      <c r="B227" s="60"/>
      <c r="C227" s="60"/>
      <c r="D227" s="60"/>
      <c r="E227" s="60"/>
      <c r="F227" s="60"/>
      <c r="G227" s="60"/>
      <c r="H227" s="60"/>
      <c r="I227" s="60"/>
      <c r="J227" s="60"/>
      <c r="K227" s="72"/>
    </row>
    <row r="228" spans="1:12" ht="15" customHeight="1">
      <c r="A228" s="60" t="s">
        <v>1152</v>
      </c>
      <c r="B228" s="60"/>
      <c r="C228" s="27"/>
      <c r="D228" s="27"/>
      <c r="E228" s="27"/>
      <c r="F228" s="27"/>
      <c r="G228" s="27"/>
      <c r="H228" s="27"/>
      <c r="I228" s="27"/>
      <c r="J228" s="27"/>
      <c r="K228" s="72"/>
    </row>
    <row r="229" spans="1:12" ht="5.25" customHeight="1">
      <c r="A229" s="60"/>
      <c r="B229" s="60"/>
      <c r="C229" s="60"/>
      <c r="D229" s="60"/>
      <c r="E229" s="60"/>
      <c r="F229" s="60"/>
      <c r="G229" s="60"/>
      <c r="H229" s="60"/>
      <c r="I229" s="60"/>
      <c r="J229" s="60"/>
      <c r="K229" s="60"/>
    </row>
    <row r="230" spans="1:12" ht="15" customHeight="1">
      <c r="A230" s="884" t="s">
        <v>1157</v>
      </c>
      <c r="B230" s="884"/>
      <c r="C230" s="884"/>
      <c r="D230" s="884"/>
      <c r="E230" s="884"/>
      <c r="F230" s="884"/>
      <c r="G230" s="884"/>
      <c r="H230" s="884"/>
      <c r="I230" s="884"/>
      <c r="J230" s="884"/>
      <c r="K230" s="884"/>
    </row>
    <row r="231" spans="1:12" ht="15" customHeight="1">
      <c r="A231" s="884"/>
      <c r="B231" s="884"/>
      <c r="C231" s="884"/>
      <c r="D231" s="884"/>
      <c r="E231" s="884"/>
      <c r="F231" s="884"/>
      <c r="G231" s="884"/>
      <c r="H231" s="884"/>
      <c r="I231" s="884"/>
      <c r="J231" s="884"/>
      <c r="K231" s="884"/>
    </row>
    <row r="232" spans="1:12" ht="15" customHeight="1">
      <c r="A232" s="884"/>
      <c r="B232" s="884"/>
      <c r="C232" s="884"/>
      <c r="D232" s="884"/>
      <c r="E232" s="884"/>
      <c r="F232" s="884"/>
      <c r="G232" s="884"/>
      <c r="H232" s="884"/>
      <c r="I232" s="884"/>
      <c r="J232" s="884"/>
      <c r="K232" s="884"/>
    </row>
    <row r="233" spans="1:12" ht="5.25" customHeight="1">
      <c r="A233" s="60"/>
      <c r="B233" s="60"/>
      <c r="C233" s="27"/>
      <c r="D233" s="27"/>
      <c r="E233" s="27"/>
      <c r="F233" s="27"/>
      <c r="G233" s="27"/>
      <c r="H233" s="27"/>
      <c r="I233" s="27"/>
      <c r="J233" s="27"/>
      <c r="K233" s="72"/>
    </row>
    <row r="234" spans="1:12" s="56" customFormat="1" ht="32.85" customHeight="1">
      <c r="B234" s="161" t="s">
        <v>258</v>
      </c>
      <c r="C234" s="1252" t="s">
        <v>298</v>
      </c>
      <c r="D234" s="1253"/>
      <c r="E234" s="1253"/>
      <c r="F234" s="1253"/>
      <c r="G234" s="1254"/>
      <c r="H234" s="161" t="s">
        <v>380</v>
      </c>
      <c r="I234" s="161" t="s">
        <v>381</v>
      </c>
      <c r="J234" s="172" t="s">
        <v>382</v>
      </c>
      <c r="K234" s="172" t="s">
        <v>1141</v>
      </c>
      <c r="L234" s="37"/>
    </row>
    <row r="235" spans="1:12" s="56" customFormat="1" ht="13.35" customHeight="1">
      <c r="B235" s="162">
        <v>1</v>
      </c>
      <c r="C235" s="833" t="str">
        <f t="shared" ref="C235:C259" si="1">C171</f>
        <v>PEKERJAAN PERSIAPAN</v>
      </c>
      <c r="D235" s="834"/>
      <c r="E235" s="834"/>
      <c r="F235" s="834"/>
      <c r="G235" s="166"/>
      <c r="H235" s="163">
        <f>H171</f>
        <v>0</v>
      </c>
      <c r="I235" s="165">
        <f>I171</f>
        <v>0</v>
      </c>
      <c r="J235" s="165">
        <f>Nego!I$9</f>
        <v>0</v>
      </c>
      <c r="K235" s="165">
        <f>I235*J235</f>
        <v>0</v>
      </c>
      <c r="L235" s="37"/>
    </row>
    <row r="236" spans="1:12" s="56" customFormat="1" ht="13.35" customHeight="1">
      <c r="B236" s="162" t="str">
        <f>IF(AND(B235&lt;&gt;0,D236&lt;&gt;0),B235+1,"")</f>
        <v/>
      </c>
      <c r="C236" s="835" t="str">
        <f t="shared" si="1"/>
        <v>Pengukuran</v>
      </c>
      <c r="D236" s="836"/>
      <c r="E236" s="836"/>
      <c r="F236" s="836"/>
      <c r="G236" s="167"/>
      <c r="H236" s="163" t="str">
        <f t="shared" ref="H236:I236" si="2">H172</f>
        <v>keg</v>
      </c>
      <c r="I236" s="165">
        <f t="shared" si="2"/>
        <v>1</v>
      </c>
      <c r="J236" s="165">
        <f>Nego!I10</f>
        <v>200000</v>
      </c>
      <c r="K236" s="165">
        <f t="shared" ref="K236:K259" si="3">I236*J236</f>
        <v>200000</v>
      </c>
      <c r="L236" s="37"/>
    </row>
    <row r="237" spans="1:12" s="56" customFormat="1" ht="13.35" customHeight="1">
      <c r="B237" s="162" t="str">
        <f t="shared" ref="B237:B260" si="4">IF(AND(B236&lt;&gt;0,D237&lt;&gt;0),B236+1,"")</f>
        <v/>
      </c>
      <c r="C237" s="835" t="str">
        <f t="shared" si="1"/>
        <v>Pembersihan Lokasi</v>
      </c>
      <c r="D237" s="836"/>
      <c r="E237" s="836"/>
      <c r="F237" s="836"/>
      <c r="G237" s="167"/>
      <c r="H237" s="163" t="str">
        <f t="shared" ref="H237:I237" si="5">H173</f>
        <v>keg</v>
      </c>
      <c r="I237" s="165">
        <f t="shared" si="5"/>
        <v>1</v>
      </c>
      <c r="J237" s="165">
        <f>Nego!I11</f>
        <v>300000</v>
      </c>
      <c r="K237" s="165">
        <f t="shared" si="3"/>
        <v>300000</v>
      </c>
      <c r="L237" s="37"/>
    </row>
    <row r="238" spans="1:12" s="56" customFormat="1" ht="13.35" customHeight="1">
      <c r="B238" s="162" t="str">
        <f t="shared" si="4"/>
        <v/>
      </c>
      <c r="C238" s="835">
        <f t="shared" si="1"/>
        <v>0</v>
      </c>
      <c r="D238" s="836"/>
      <c r="E238" s="836"/>
      <c r="F238" s="836"/>
      <c r="G238" s="167"/>
      <c r="H238" s="163">
        <f t="shared" ref="H238:I238" si="6">H174</f>
        <v>0</v>
      </c>
      <c r="I238" s="165">
        <f t="shared" si="6"/>
        <v>0</v>
      </c>
      <c r="J238" s="165">
        <f>Nego!I12</f>
        <v>0</v>
      </c>
      <c r="K238" s="165">
        <f t="shared" si="3"/>
        <v>0</v>
      </c>
      <c r="L238" s="37"/>
    </row>
    <row r="239" spans="1:12" s="56" customFormat="1" ht="13.5" customHeight="1">
      <c r="B239" s="162" t="str">
        <f t="shared" si="4"/>
        <v/>
      </c>
      <c r="C239" s="835" t="str">
        <f t="shared" si="1"/>
        <v>SMK3 KONSTRUKSI</v>
      </c>
      <c r="D239" s="836"/>
      <c r="E239" s="836"/>
      <c r="F239" s="836"/>
      <c r="G239" s="167"/>
      <c r="H239" s="163">
        <f t="shared" ref="H239:I239" si="7">H175</f>
        <v>0</v>
      </c>
      <c r="I239" s="165">
        <f t="shared" si="7"/>
        <v>0</v>
      </c>
      <c r="J239" s="165">
        <f>Nego!I13</f>
        <v>0</v>
      </c>
      <c r="K239" s="165">
        <f t="shared" si="3"/>
        <v>0</v>
      </c>
      <c r="L239" s="37"/>
    </row>
    <row r="240" spans="1:12" s="56" customFormat="1" ht="13.5" customHeight="1">
      <c r="B240" s="162" t="str">
        <f t="shared" si="4"/>
        <v/>
      </c>
      <c r="C240" s="835" t="str">
        <f t="shared" si="1"/>
        <v>Alat Pelindung Kerja dan Alat Pelindung Diri</v>
      </c>
      <c r="D240" s="836"/>
      <c r="E240" s="836"/>
      <c r="F240" s="836"/>
      <c r="G240" s="167"/>
      <c r="H240" s="163" t="str">
        <f t="shared" ref="H240:I240" si="8">H176</f>
        <v>set</v>
      </c>
      <c r="I240" s="165">
        <f t="shared" si="8"/>
        <v>5</v>
      </c>
      <c r="J240" s="165">
        <f>Nego!I14</f>
        <v>75000</v>
      </c>
      <c r="K240" s="165">
        <f t="shared" si="3"/>
        <v>375000</v>
      </c>
      <c r="L240" s="37"/>
    </row>
    <row r="241" spans="2:12" s="56" customFormat="1" ht="13.5" customHeight="1">
      <c r="B241" s="162" t="str">
        <f t="shared" si="4"/>
        <v/>
      </c>
      <c r="C241" s="835">
        <f t="shared" si="1"/>
        <v>0</v>
      </c>
      <c r="D241" s="836"/>
      <c r="E241" s="836"/>
      <c r="F241" s="836"/>
      <c r="G241" s="167"/>
      <c r="H241" s="163">
        <f t="shared" ref="H241:I241" si="9">H177</f>
        <v>0</v>
      </c>
      <c r="I241" s="165">
        <f t="shared" si="9"/>
        <v>0</v>
      </c>
      <c r="J241" s="165">
        <f>Nego!I15</f>
        <v>0</v>
      </c>
      <c r="K241" s="165">
        <f t="shared" si="3"/>
        <v>0</v>
      </c>
      <c r="L241" s="37"/>
    </row>
    <row r="242" spans="2:12" s="56" customFormat="1" ht="13.5" customHeight="1">
      <c r="B242" s="162" t="str">
        <f t="shared" si="4"/>
        <v/>
      </c>
      <c r="C242" s="835" t="str">
        <f t="shared" si="1"/>
        <v>PEKERJAAN PENGECATAN</v>
      </c>
      <c r="D242" s="836"/>
      <c r="E242" s="836"/>
      <c r="F242" s="836"/>
      <c r="G242" s="167"/>
      <c r="H242" s="163">
        <f t="shared" ref="H242:I242" si="10">H178</f>
        <v>0</v>
      </c>
      <c r="I242" s="165">
        <f t="shared" si="10"/>
        <v>0</v>
      </c>
      <c r="J242" s="165">
        <f>Nego!I16</f>
        <v>0</v>
      </c>
      <c r="K242" s="165">
        <f t="shared" si="3"/>
        <v>0</v>
      </c>
      <c r="L242" s="37"/>
    </row>
    <row r="243" spans="2:12" s="56" customFormat="1" ht="13.5" customHeight="1">
      <c r="B243" s="162" t="str">
        <f t="shared" si="4"/>
        <v/>
      </c>
      <c r="C243" s="835" t="str">
        <f t="shared" si="1"/>
        <v>Sewa stager</v>
      </c>
      <c r="D243" s="836"/>
      <c r="E243" s="836"/>
      <c r="F243" s="836"/>
      <c r="G243" s="167"/>
      <c r="H243" s="163" t="str">
        <f t="shared" ref="H243:I243" si="11">H179</f>
        <v>keg</v>
      </c>
      <c r="I243" s="165">
        <f t="shared" si="11"/>
        <v>1</v>
      </c>
      <c r="J243" s="165">
        <f>Nego!I17</f>
        <v>4500000</v>
      </c>
      <c r="K243" s="165">
        <f t="shared" si="3"/>
        <v>4500000</v>
      </c>
      <c r="L243" s="37"/>
    </row>
    <row r="244" spans="2:12" s="56" customFormat="1" ht="13.5" customHeight="1">
      <c r="B244" s="162" t="str">
        <f t="shared" si="4"/>
        <v/>
      </c>
      <c r="C244" s="835" t="str">
        <f t="shared" si="1"/>
        <v xml:space="preserve">Pengerokan cat yang terkelupas </v>
      </c>
      <c r="D244" s="836"/>
      <c r="E244" s="836"/>
      <c r="F244" s="836"/>
      <c r="G244" s="167"/>
      <c r="H244" s="163" t="str">
        <f t="shared" ref="H244:I244" si="12">H180</f>
        <v>m2</v>
      </c>
      <c r="I244" s="165">
        <f t="shared" si="12"/>
        <v>168.58</v>
      </c>
      <c r="J244" s="165">
        <f>Nego!I18</f>
        <v>19719.974999999999</v>
      </c>
      <c r="K244" s="165">
        <f t="shared" si="3"/>
        <v>3324393.3854999999</v>
      </c>
      <c r="L244" s="37"/>
    </row>
    <row r="245" spans="2:12" s="56" customFormat="1" ht="13.5" customHeight="1">
      <c r="B245" s="162" t="str">
        <f t="shared" si="4"/>
        <v/>
      </c>
      <c r="C245" s="835" t="str">
        <f t="shared" si="1"/>
        <v>Pengecatan ulang dinding luar</v>
      </c>
      <c r="D245" s="836"/>
      <c r="E245" s="836"/>
      <c r="F245" s="836"/>
      <c r="G245" s="167"/>
      <c r="H245" s="163" t="str">
        <f t="shared" ref="H245:I245" si="13">H181</f>
        <v>m2</v>
      </c>
      <c r="I245" s="165">
        <f t="shared" si="13"/>
        <v>842.91</v>
      </c>
      <c r="J245" s="165">
        <f>Nego!I19</f>
        <v>40683.290999999997</v>
      </c>
      <c r="K245" s="165">
        <f t="shared" si="3"/>
        <v>34292352.816809997</v>
      </c>
      <c r="L245" s="37"/>
    </row>
    <row r="246" spans="2:12" s="56" customFormat="1" ht="13.5" customHeight="1">
      <c r="B246" s="162" t="str">
        <f t="shared" si="4"/>
        <v/>
      </c>
      <c r="C246" s="835" t="str">
        <f t="shared" si="1"/>
        <v>Pengecatan ACP dengan cat besi</v>
      </c>
      <c r="D246" s="836"/>
      <c r="E246" s="836"/>
      <c r="F246" s="836"/>
      <c r="G246" s="167"/>
      <c r="H246" s="163" t="str">
        <f t="shared" ref="H246:I246" si="14">H182</f>
        <v>m2</v>
      </c>
      <c r="I246" s="165">
        <f t="shared" si="14"/>
        <v>419</v>
      </c>
      <c r="J246" s="165">
        <f>Nego!I20</f>
        <v>47607.593000000001</v>
      </c>
      <c r="K246" s="165">
        <f t="shared" si="3"/>
        <v>19947581.467</v>
      </c>
      <c r="L246" s="37"/>
    </row>
    <row r="247" spans="2:12" s="56" customFormat="1" ht="13.5" customHeight="1">
      <c r="B247" s="162" t="str">
        <f t="shared" si="4"/>
        <v/>
      </c>
      <c r="C247" s="835">
        <f t="shared" si="1"/>
        <v>0</v>
      </c>
      <c r="D247" s="836"/>
      <c r="E247" s="836"/>
      <c r="F247" s="836"/>
      <c r="G247" s="167"/>
      <c r="H247" s="163">
        <f t="shared" ref="H247:I247" si="15">H183</f>
        <v>0</v>
      </c>
      <c r="I247" s="165">
        <f t="shared" si="15"/>
        <v>0</v>
      </c>
      <c r="J247" s="165">
        <f>Nego!I21</f>
        <v>0</v>
      </c>
      <c r="K247" s="165">
        <f t="shared" si="3"/>
        <v>0</v>
      </c>
      <c r="L247" s="37"/>
    </row>
    <row r="248" spans="2:12" s="56" customFormat="1" ht="13.5" customHeight="1">
      <c r="B248" s="162" t="str">
        <f t="shared" si="4"/>
        <v/>
      </c>
      <c r="C248" s="835">
        <f t="shared" si="1"/>
        <v>0</v>
      </c>
      <c r="D248" s="836"/>
      <c r="E248" s="836"/>
      <c r="F248" s="836"/>
      <c r="G248" s="167"/>
      <c r="H248" s="163">
        <f t="shared" ref="H248:I248" si="16">H184</f>
        <v>0</v>
      </c>
      <c r="I248" s="165">
        <f t="shared" si="16"/>
        <v>0</v>
      </c>
      <c r="J248" s="165">
        <f>Nego!I22</f>
        <v>0</v>
      </c>
      <c r="K248" s="165">
        <f t="shared" si="3"/>
        <v>0</v>
      </c>
      <c r="L248" s="37"/>
    </row>
    <row r="249" spans="2:12" s="56" customFormat="1" ht="13.5" customHeight="1">
      <c r="B249" s="162" t="str">
        <f t="shared" si="4"/>
        <v/>
      </c>
      <c r="C249" s="835">
        <f t="shared" si="1"/>
        <v>0</v>
      </c>
      <c r="D249" s="836"/>
      <c r="E249" s="836"/>
      <c r="F249" s="836"/>
      <c r="G249" s="167"/>
      <c r="H249" s="163">
        <f t="shared" ref="H249:I249" si="17">H185</f>
        <v>0</v>
      </c>
      <c r="I249" s="165">
        <f t="shared" si="17"/>
        <v>0</v>
      </c>
      <c r="J249" s="165">
        <f>Nego!I23</f>
        <v>0</v>
      </c>
      <c r="K249" s="165">
        <f t="shared" si="3"/>
        <v>0</v>
      </c>
      <c r="L249" s="37"/>
    </row>
    <row r="250" spans="2:12" s="56" customFormat="1" ht="13.5" customHeight="1">
      <c r="B250" s="162" t="str">
        <f t="shared" si="4"/>
        <v/>
      </c>
      <c r="C250" s="835">
        <f t="shared" si="1"/>
        <v>0</v>
      </c>
      <c r="D250" s="836"/>
      <c r="E250" s="836"/>
      <c r="F250" s="836"/>
      <c r="G250" s="167"/>
      <c r="H250" s="163">
        <f t="shared" ref="H250:I250" si="18">H186</f>
        <v>0</v>
      </c>
      <c r="I250" s="165">
        <f t="shared" si="18"/>
        <v>0</v>
      </c>
      <c r="J250" s="165">
        <f>Nego!I24</f>
        <v>0</v>
      </c>
      <c r="K250" s="165">
        <f t="shared" si="3"/>
        <v>0</v>
      </c>
      <c r="L250" s="37"/>
    </row>
    <row r="251" spans="2:12" s="56" customFormat="1" ht="13.5" customHeight="1">
      <c r="B251" s="162" t="str">
        <f t="shared" si="4"/>
        <v/>
      </c>
      <c r="C251" s="835">
        <f t="shared" si="1"/>
        <v>0</v>
      </c>
      <c r="D251" s="836"/>
      <c r="E251" s="836"/>
      <c r="F251" s="836"/>
      <c r="G251" s="167"/>
      <c r="H251" s="163">
        <f t="shared" ref="H251:I251" si="19">H187</f>
        <v>0</v>
      </c>
      <c r="I251" s="165">
        <f t="shared" si="19"/>
        <v>0</v>
      </c>
      <c r="J251" s="165">
        <f>Nego!I25</f>
        <v>0</v>
      </c>
      <c r="K251" s="165">
        <f t="shared" si="3"/>
        <v>0</v>
      </c>
      <c r="L251" s="37"/>
    </row>
    <row r="252" spans="2:12" s="56" customFormat="1" ht="13.5" customHeight="1">
      <c r="B252" s="162" t="str">
        <f t="shared" si="4"/>
        <v/>
      </c>
      <c r="C252" s="835">
        <f t="shared" si="1"/>
        <v>0</v>
      </c>
      <c r="D252" s="836"/>
      <c r="E252" s="836"/>
      <c r="F252" s="836"/>
      <c r="G252" s="167"/>
      <c r="H252" s="163">
        <f t="shared" ref="H252:I252" si="20">H188</f>
        <v>0</v>
      </c>
      <c r="I252" s="165">
        <f t="shared" si="20"/>
        <v>0</v>
      </c>
      <c r="J252" s="165">
        <f>Nego!I26</f>
        <v>0</v>
      </c>
      <c r="K252" s="165">
        <f t="shared" si="3"/>
        <v>0</v>
      </c>
      <c r="L252" s="37"/>
    </row>
    <row r="253" spans="2:12" s="56" customFormat="1" ht="13.5" customHeight="1">
      <c r="B253" s="162"/>
      <c r="C253" s="835">
        <f t="shared" si="1"/>
        <v>0</v>
      </c>
      <c r="D253" s="836"/>
      <c r="E253" s="836"/>
      <c r="F253" s="836"/>
      <c r="G253" s="167"/>
      <c r="H253" s="163">
        <f t="shared" ref="H253:I253" si="21">H189</f>
        <v>0</v>
      </c>
      <c r="I253" s="165">
        <f t="shared" si="21"/>
        <v>0</v>
      </c>
      <c r="J253" s="165">
        <f>Nego!I27</f>
        <v>0</v>
      </c>
      <c r="K253" s="165">
        <f t="shared" si="3"/>
        <v>0</v>
      </c>
      <c r="L253" s="37"/>
    </row>
    <row r="254" spans="2:12" s="56" customFormat="1" ht="13.5" customHeight="1">
      <c r="B254" s="162"/>
      <c r="C254" s="835">
        <f t="shared" si="1"/>
        <v>0</v>
      </c>
      <c r="D254" s="836"/>
      <c r="E254" s="836"/>
      <c r="F254" s="836"/>
      <c r="G254" s="167"/>
      <c r="H254" s="163">
        <f t="shared" ref="H254:I254" si="22">H190</f>
        <v>0</v>
      </c>
      <c r="I254" s="165">
        <f t="shared" si="22"/>
        <v>0</v>
      </c>
      <c r="J254" s="165">
        <f>Nego!I28</f>
        <v>0</v>
      </c>
      <c r="K254" s="165">
        <f t="shared" si="3"/>
        <v>0</v>
      </c>
      <c r="L254" s="37"/>
    </row>
    <row r="255" spans="2:12" s="56" customFormat="1" ht="13.5" customHeight="1">
      <c r="B255" s="162"/>
      <c r="C255" s="835">
        <f t="shared" si="1"/>
        <v>0</v>
      </c>
      <c r="D255" s="836"/>
      <c r="E255" s="836"/>
      <c r="F255" s="836"/>
      <c r="G255" s="167"/>
      <c r="H255" s="163">
        <f t="shared" ref="H255:I255" si="23">H191</f>
        <v>0</v>
      </c>
      <c r="I255" s="165">
        <f t="shared" si="23"/>
        <v>0</v>
      </c>
      <c r="J255" s="165">
        <f>Nego!I29</f>
        <v>0</v>
      </c>
      <c r="K255" s="165">
        <f t="shared" si="3"/>
        <v>0</v>
      </c>
      <c r="L255" s="37"/>
    </row>
    <row r="256" spans="2:12" s="56" customFormat="1" ht="13.5" customHeight="1">
      <c r="B256" s="162"/>
      <c r="C256" s="835">
        <f t="shared" si="1"/>
        <v>0</v>
      </c>
      <c r="D256" s="836"/>
      <c r="E256" s="836"/>
      <c r="F256" s="836"/>
      <c r="G256" s="167"/>
      <c r="H256" s="163">
        <f t="shared" ref="H256:I256" si="24">H192</f>
        <v>0</v>
      </c>
      <c r="I256" s="165">
        <f t="shared" si="24"/>
        <v>0</v>
      </c>
      <c r="J256" s="165">
        <f>Nego!I30</f>
        <v>0</v>
      </c>
      <c r="K256" s="165">
        <f t="shared" si="3"/>
        <v>0</v>
      </c>
      <c r="L256" s="37"/>
    </row>
    <row r="257" spans="1:13" s="56" customFormat="1" ht="13.5" customHeight="1">
      <c r="B257" s="162"/>
      <c r="C257" s="835">
        <f t="shared" si="1"/>
        <v>0</v>
      </c>
      <c r="D257" s="836"/>
      <c r="E257" s="836"/>
      <c r="F257" s="836"/>
      <c r="G257" s="167"/>
      <c r="H257" s="163">
        <f t="shared" ref="H257:I257" si="25">H193</f>
        <v>0</v>
      </c>
      <c r="I257" s="165">
        <f t="shared" si="25"/>
        <v>0</v>
      </c>
      <c r="J257" s="165">
        <f>Nego!I31</f>
        <v>0</v>
      </c>
      <c r="K257" s="165">
        <f t="shared" si="3"/>
        <v>0</v>
      </c>
      <c r="L257" s="37"/>
    </row>
    <row r="258" spans="1:13" s="56" customFormat="1" ht="13.5" customHeight="1">
      <c r="B258" s="162"/>
      <c r="C258" s="835">
        <f t="shared" si="1"/>
        <v>0</v>
      </c>
      <c r="D258" s="836"/>
      <c r="E258" s="836"/>
      <c r="F258" s="836"/>
      <c r="G258" s="167"/>
      <c r="H258" s="163">
        <f t="shared" ref="H258:I258" si="26">H194</f>
        <v>0</v>
      </c>
      <c r="I258" s="165">
        <f t="shared" si="26"/>
        <v>0</v>
      </c>
      <c r="J258" s="165">
        <f>Nego!I32</f>
        <v>0</v>
      </c>
      <c r="K258" s="165">
        <f t="shared" si="3"/>
        <v>0</v>
      </c>
      <c r="L258" s="37"/>
    </row>
    <row r="259" spans="1:13" s="56" customFormat="1" ht="13.5" customHeight="1">
      <c r="B259" s="162" t="str">
        <f>IF(AND(B252&lt;&gt;0,D259&lt;&gt;0),B252+1,"")</f>
        <v/>
      </c>
      <c r="C259" s="835">
        <f t="shared" si="1"/>
        <v>0</v>
      </c>
      <c r="D259" s="836"/>
      <c r="E259" s="836"/>
      <c r="F259" s="836"/>
      <c r="G259" s="167"/>
      <c r="H259" s="163">
        <f t="shared" ref="H259:I259" si="27">H195</f>
        <v>0</v>
      </c>
      <c r="I259" s="165">
        <f t="shared" si="27"/>
        <v>0</v>
      </c>
      <c r="J259" s="165">
        <f>Nego!I33</f>
        <v>0</v>
      </c>
      <c r="K259" s="165">
        <f t="shared" si="3"/>
        <v>0</v>
      </c>
      <c r="L259" s="37"/>
    </row>
    <row r="260" spans="1:13" s="56" customFormat="1" ht="13.5" customHeight="1">
      <c r="B260" s="173" t="str">
        <f t="shared" si="4"/>
        <v/>
      </c>
      <c r="C260" s="1261"/>
      <c r="D260" s="1262"/>
      <c r="E260" s="1262"/>
      <c r="F260" s="1262"/>
      <c r="G260" s="1262"/>
      <c r="H260" s="174"/>
      <c r="I260" s="176"/>
      <c r="J260" s="177" t="s">
        <v>376</v>
      </c>
      <c r="K260" s="178">
        <f>SUM(K235:K259)</f>
        <v>62939327.669309996</v>
      </c>
      <c r="L260" s="37"/>
      <c r="M260" s="112"/>
    </row>
    <row r="261" spans="1:13" s="56" customFormat="1" ht="15" customHeight="1">
      <c r="B261" s="37" t="s">
        <v>1142</v>
      </c>
      <c r="C261" s="37" t="s">
        <v>2</v>
      </c>
      <c r="D261" s="37" t="str">
        <f>PPK.HPS!A48</f>
        <v>Harga tersebut di atas sudah termasuk pajak-pajak dan biaya pungutan resmi lainnya.</v>
      </c>
      <c r="E261" s="64"/>
      <c r="F261" s="175"/>
      <c r="G261" s="175"/>
      <c r="H261" s="175"/>
      <c r="I261" s="175"/>
      <c r="J261" s="175"/>
      <c r="K261" s="175"/>
      <c r="L261" s="170"/>
      <c r="M261" s="37"/>
    </row>
    <row r="262" spans="1:13" s="56" customFormat="1" ht="3" customHeight="1">
      <c r="B262" s="37"/>
      <c r="C262" s="37"/>
      <c r="D262" s="64"/>
      <c r="E262" s="64"/>
      <c r="F262" s="170"/>
      <c r="G262" s="170"/>
      <c r="H262" s="170"/>
      <c r="I262" s="170"/>
      <c r="J262" s="170"/>
      <c r="K262" s="170"/>
      <c r="L262" s="170"/>
      <c r="M262" s="37"/>
    </row>
    <row r="263" spans="1:13" ht="15" customHeight="1">
      <c r="A263" s="60" t="s">
        <v>1155</v>
      </c>
      <c r="B263" s="60"/>
      <c r="C263" s="60"/>
      <c r="D263" s="60"/>
      <c r="E263" s="60"/>
      <c r="F263" s="60"/>
      <c r="G263" s="60"/>
      <c r="H263" s="60"/>
      <c r="I263" s="60"/>
      <c r="J263" s="60"/>
      <c r="K263" s="60"/>
    </row>
    <row r="264" spans="1:13" s="56" customFormat="1" ht="15" customHeight="1">
      <c r="B264" s="37"/>
      <c r="C264" s="37"/>
      <c r="D264" s="44"/>
      <c r="E264" s="64"/>
      <c r="F264" s="63"/>
      <c r="G264" s="63"/>
      <c r="H264" s="44"/>
      <c r="I264" s="44"/>
      <c r="J264" s="73"/>
      <c r="K264" s="74"/>
      <c r="L264" s="74"/>
      <c r="M264" s="37"/>
    </row>
    <row r="265" spans="1:13" s="56" customFormat="1" ht="15" customHeight="1">
      <c r="B265" s="37"/>
      <c r="C265" s="37"/>
      <c r="D265" s="44" t="s">
        <v>163</v>
      </c>
      <c r="E265" s="64"/>
      <c r="F265" s="63"/>
      <c r="G265" s="63"/>
      <c r="H265" s="44"/>
      <c r="I265" s="44" t="s">
        <v>1149</v>
      </c>
      <c r="J265" s="73"/>
      <c r="K265" s="74"/>
      <c r="L265" s="74"/>
      <c r="M265" s="37"/>
    </row>
    <row r="266" spans="1:13" s="56" customFormat="1" ht="15" customHeight="1">
      <c r="B266" s="37"/>
      <c r="C266" s="37"/>
      <c r="D266" s="64"/>
      <c r="E266" s="64"/>
      <c r="F266" s="63"/>
      <c r="G266" s="63"/>
      <c r="H266" s="44"/>
      <c r="I266" s="44"/>
      <c r="J266" s="73"/>
      <c r="K266" s="74"/>
      <c r="L266" s="74"/>
      <c r="M266" s="37"/>
    </row>
    <row r="267" spans="1:13" s="56" customFormat="1" ht="15" customHeight="1">
      <c r="B267" s="37"/>
      <c r="C267" s="37"/>
      <c r="D267" s="64"/>
      <c r="E267" s="64"/>
      <c r="F267" s="63"/>
      <c r="G267" s="63"/>
      <c r="H267" s="44"/>
      <c r="I267" s="44"/>
      <c r="J267" s="73"/>
      <c r="K267" s="74"/>
      <c r="L267" s="74"/>
      <c r="M267" s="37"/>
    </row>
    <row r="268" spans="1:13" s="56" customFormat="1" ht="15" customHeight="1">
      <c r="B268" s="37"/>
      <c r="C268" s="37"/>
      <c r="D268" s="64"/>
      <c r="E268" s="64"/>
      <c r="F268" s="63"/>
      <c r="G268" s="63"/>
      <c r="H268" s="44"/>
      <c r="I268" s="44"/>
      <c r="J268" s="73"/>
      <c r="K268" s="74"/>
      <c r="L268" s="74"/>
      <c r="M268" s="37"/>
    </row>
    <row r="269" spans="1:13" s="56" customFormat="1" ht="15" customHeight="1">
      <c r="B269" s="37"/>
      <c r="C269" s="37"/>
      <c r="D269" s="65" t="str">
        <f>bu_pimn</f>
        <v>Saripudin</v>
      </c>
      <c r="E269" s="64"/>
      <c r="F269" s="63"/>
      <c r="G269" s="63"/>
      <c r="H269" s="44"/>
      <c r="I269" s="65" t="str">
        <f>ppk_nama</f>
        <v>Ika Kurnia Mustika, ST, MT</v>
      </c>
      <c r="J269" s="73"/>
      <c r="K269" s="74"/>
      <c r="L269" s="74"/>
      <c r="M269" s="37"/>
    </row>
    <row r="270" spans="1:13" s="56" customFormat="1" ht="15" customHeight="1">
      <c r="B270" s="37"/>
      <c r="C270" s="37"/>
      <c r="D270" s="44" t="str">
        <f>bu_pim&amp;" "&amp;bu_nama</f>
        <v>Direktur PT. DARUSSALAM MEDIA GROUP</v>
      </c>
      <c r="E270" s="64"/>
      <c r="F270" s="63"/>
      <c r="G270" s="63"/>
      <c r="H270" s="44"/>
      <c r="I270" s="44" t="str">
        <f>"NIP. "&amp;ppk_nip</f>
        <v>NIP. 19791117 200901 1 006</v>
      </c>
      <c r="J270" s="73"/>
      <c r="K270" s="74"/>
      <c r="L270" s="74"/>
      <c r="M270" s="37"/>
    </row>
    <row r="271" spans="1:13" ht="5.25" customHeight="1"/>
    <row r="272" spans="1:13" ht="15" customHeight="1"/>
    <row r="273" spans="1:12" ht="15" customHeight="1">
      <c r="A273" s="27"/>
      <c r="B273" s="27"/>
      <c r="C273" s="27"/>
      <c r="D273" s="27"/>
      <c r="E273" s="27"/>
      <c r="F273" s="27"/>
      <c r="G273" s="27"/>
      <c r="H273" s="27"/>
      <c r="I273" s="27"/>
      <c r="J273" s="27"/>
      <c r="K273" s="72" t="str">
        <f>ppk_lok&amp;", "&amp;Input!$H$104</f>
        <v>Mataram, 2 September 2023</v>
      </c>
    </row>
    <row r="274" spans="1:12" ht="15" customHeight="1">
      <c r="A274" s="60" t="s">
        <v>237</v>
      </c>
      <c r="B274" s="60"/>
      <c r="C274" s="60" t="s">
        <v>2</v>
      </c>
      <c r="D274" s="60" t="str">
        <f>Input!D104</f>
        <v>027.3/17/BAPH/BPKAD/2024</v>
      </c>
      <c r="E274" s="60"/>
      <c r="F274" s="60"/>
      <c r="G274" s="60"/>
      <c r="H274" s="60"/>
      <c r="I274" s="60" t="s">
        <v>848</v>
      </c>
      <c r="J274" s="60"/>
      <c r="K274" s="60"/>
      <c r="L274" s="60"/>
    </row>
    <row r="275" spans="1:12" ht="15" customHeight="1">
      <c r="A275" s="37" t="s">
        <v>267</v>
      </c>
      <c r="B275" s="37"/>
      <c r="C275" s="37" t="s">
        <v>2</v>
      </c>
      <c r="D275" s="796" t="s">
        <v>847</v>
      </c>
      <c r="E275" s="37"/>
      <c r="F275" s="37"/>
      <c r="G275" s="37"/>
      <c r="H275" s="37"/>
      <c r="I275" s="1148" t="str">
        <f>pa_jab&amp;" selaku "&amp;pa_sku</f>
        <v>Kepala Badan Pengelolaan Keuangan dan Aset Daerah selaku Pengguna Anggaran</v>
      </c>
      <c r="J275" s="1148"/>
      <c r="K275" s="1148"/>
      <c r="L275" s="56"/>
    </row>
    <row r="276" spans="1:12" ht="15" customHeight="1">
      <c r="A276" s="60" t="s">
        <v>269</v>
      </c>
      <c r="B276" s="60"/>
      <c r="C276" s="60" t="s">
        <v>2</v>
      </c>
      <c r="D276" s="1089" t="str">
        <f>"Penyerahan Hasil Pekerjaan "&amp;paket</f>
        <v>Penyerahan Hasil Pekerjaan Belanja Pemeliharaan Bangunan Gedung-Bangunan Gedung Tempat Kerja-Bangunan Gedung Kantor-Pemeliharaan Gedung Bertingkat</v>
      </c>
      <c r="E276" s="1089"/>
      <c r="F276" s="1089"/>
      <c r="G276" s="75"/>
      <c r="H276" s="60"/>
      <c r="I276" s="1148"/>
      <c r="J276" s="1148"/>
      <c r="K276" s="1148"/>
      <c r="L276" s="56"/>
    </row>
    <row r="277" spans="1:12" ht="15" customHeight="1">
      <c r="A277" s="60"/>
      <c r="B277" s="60"/>
      <c r="C277" s="60"/>
      <c r="D277" s="1089"/>
      <c r="E277" s="1089"/>
      <c r="F277" s="1089"/>
      <c r="G277" s="75"/>
      <c r="H277" s="60"/>
      <c r="I277" s="60" t="s">
        <v>849</v>
      </c>
      <c r="J277" s="60"/>
      <c r="K277" s="60"/>
      <c r="L277" s="60"/>
    </row>
    <row r="278" spans="1:12" ht="15" customHeight="1">
      <c r="D278" s="1089"/>
      <c r="E278" s="1089"/>
      <c r="F278" s="1089"/>
      <c r="G278" s="75"/>
      <c r="H278" s="60"/>
      <c r="I278" s="60"/>
      <c r="J278" s="60" t="str">
        <f>pa_lok</f>
        <v>Mataram</v>
      </c>
      <c r="K278" s="60"/>
      <c r="L278" s="60"/>
    </row>
    <row r="279" spans="1:12" ht="15" customHeight="1"/>
    <row r="280" spans="1:12" ht="15" customHeight="1">
      <c r="D280" s="1021" t="str">
        <f>"Sehubungan dengan telah diselesaikannya pekerjaan "&amp;paket&amp;" sesuai Surat Perintah Kerja (SPK) nomor "&amp;Input!$D$91&amp;" tanggal "&amp;Input!$H$91&amp;" dengan nilai Rp. "&amp;TEXT(bu_hn,tiko1)&amp;" ("&amp;bu_hn2&amp;"), maka dengan ini kami menyerahkan hasil pekerjaan tersebut untuk dapat diproses pencatatan dan pembayaran."</f>
        <v>Sehubungan dengan telah diselesaikannya pekerjaan Belanja Pemeliharaan Bangunan Gedung-Bangunan Gedung Tempat Kerja-Bangunan Gedung Kantor-Pemeliharaan Gedung Bertingkat sesuai Surat Perintah Kerja (SPK) nomor 027.1/1/SPK/BPKAD/2025 tanggal 3 Agustus 2023 dengan nilai Rp. 69,862,000 (Enam Puluh Sembilan Juta Delapan Ratus Enam Puluh Dua Ribu Rupiah), maka dengan ini kami menyerahkan hasil pekerjaan tersebut untuk dapat diproses pencatatan dan pembayaran.</v>
      </c>
      <c r="E280" s="1021"/>
      <c r="F280" s="1021"/>
      <c r="G280" s="1021"/>
      <c r="H280" s="1021"/>
      <c r="I280" s="1021"/>
      <c r="J280" s="1021"/>
      <c r="K280" s="1021"/>
    </row>
    <row r="281" spans="1:12" ht="15" customHeight="1">
      <c r="D281" s="1021"/>
      <c r="E281" s="1021"/>
      <c r="F281" s="1021"/>
      <c r="G281" s="1021"/>
      <c r="H281" s="1021"/>
      <c r="I281" s="1021"/>
      <c r="J281" s="1021"/>
      <c r="K281" s="1021"/>
    </row>
    <row r="282" spans="1:12" ht="15" customHeight="1">
      <c r="D282" s="1021"/>
      <c r="E282" s="1021"/>
      <c r="F282" s="1021"/>
      <c r="G282" s="1021"/>
      <c r="H282" s="1021"/>
      <c r="I282" s="1021"/>
      <c r="J282" s="1021"/>
      <c r="K282" s="1021"/>
    </row>
    <row r="283" spans="1:12" ht="15" customHeight="1">
      <c r="D283" s="1021"/>
      <c r="E283" s="1021"/>
      <c r="F283" s="1021"/>
      <c r="G283" s="1021"/>
      <c r="H283" s="1021"/>
      <c r="I283" s="1021"/>
      <c r="J283" s="1021"/>
      <c r="K283" s="1021"/>
    </row>
    <row r="284" spans="1:12" ht="15" customHeight="1">
      <c r="D284" s="1021"/>
      <c r="E284" s="1021"/>
      <c r="F284" s="1021"/>
      <c r="G284" s="1021"/>
      <c r="H284" s="1021"/>
      <c r="I284" s="1021"/>
      <c r="J284" s="1021"/>
      <c r="K284" s="1021"/>
    </row>
    <row r="285" spans="1:12" ht="15" customHeight="1">
      <c r="D285" s="1021"/>
      <c r="E285" s="1021"/>
      <c r="F285" s="1021"/>
      <c r="G285" s="1021"/>
      <c r="H285" s="1021"/>
      <c r="I285" s="1021"/>
      <c r="J285" s="1021"/>
      <c r="K285" s="1021"/>
    </row>
    <row r="286" spans="1:12" ht="15" customHeight="1">
      <c r="D286" s="1021"/>
      <c r="E286" s="1021"/>
      <c r="F286" s="1021"/>
      <c r="G286" s="1021"/>
      <c r="H286" s="1021"/>
      <c r="I286" s="1021"/>
      <c r="J286" s="1021"/>
      <c r="K286" s="1021"/>
    </row>
    <row r="287" spans="1:12" ht="15" customHeight="1">
      <c r="C287" s="43"/>
      <c r="D287" s="43"/>
      <c r="H287" s="44"/>
      <c r="I287" s="44"/>
      <c r="J287" s="53"/>
      <c r="K287" s="53"/>
    </row>
    <row r="288" spans="1:12" ht="15" customHeight="1">
      <c r="C288" s="38"/>
      <c r="D288" s="37" t="s">
        <v>854</v>
      </c>
      <c r="E288" s="37"/>
      <c r="F288" s="37"/>
      <c r="G288" s="37"/>
      <c r="H288" s="37"/>
      <c r="I288" s="37"/>
      <c r="J288" s="37"/>
      <c r="K288" s="37"/>
    </row>
    <row r="289" spans="1:12" ht="15" customHeight="1">
      <c r="C289" s="43"/>
      <c r="D289" s="43"/>
      <c r="H289" s="54"/>
      <c r="I289" s="54"/>
      <c r="J289" s="53"/>
      <c r="K289" s="53"/>
    </row>
    <row r="290" spans="1:12" ht="15" customHeight="1">
      <c r="C290" s="43"/>
      <c r="D290" s="43"/>
      <c r="I290" s="67" t="str">
        <f>ppk_jab</f>
        <v>Pejabat Pembuat Komitmen</v>
      </c>
      <c r="J290" s="67"/>
      <c r="K290" s="53"/>
      <c r="L290" s="53"/>
    </row>
    <row r="291" spans="1:12" ht="15" customHeight="1">
      <c r="C291" s="43"/>
      <c r="D291" s="43"/>
      <c r="I291" s="54"/>
      <c r="J291" s="54"/>
      <c r="K291" s="53"/>
      <c r="L291" s="53"/>
    </row>
    <row r="292" spans="1:12" ht="15" customHeight="1">
      <c r="C292" s="43"/>
      <c r="D292" s="43"/>
      <c r="I292" s="44"/>
      <c r="J292" s="44"/>
      <c r="K292" s="53"/>
      <c r="L292" s="53"/>
    </row>
    <row r="293" spans="1:12" ht="15" customHeight="1">
      <c r="C293" s="43"/>
      <c r="D293" s="43"/>
      <c r="I293" s="44"/>
      <c r="J293" s="44"/>
      <c r="K293" s="53"/>
      <c r="L293" s="53"/>
    </row>
    <row r="294" spans="1:12" ht="15" customHeight="1">
      <c r="C294" s="43"/>
      <c r="D294" s="43"/>
      <c r="I294" s="55" t="str">
        <f>ppk_nama</f>
        <v>Ika Kurnia Mustika, ST, MT</v>
      </c>
      <c r="J294" s="55"/>
      <c r="K294" s="53"/>
      <c r="L294" s="53"/>
    </row>
    <row r="295" spans="1:12" ht="15" customHeight="1">
      <c r="C295" s="43"/>
      <c r="D295" s="43"/>
      <c r="I295" s="44" t="str">
        <f>"NIP. "&amp;ppk_nip</f>
        <v>NIP. 19791117 200901 1 006</v>
      </c>
      <c r="J295" s="44"/>
      <c r="K295" s="53"/>
      <c r="L295" s="53"/>
    </row>
    <row r="296" spans="1:12" ht="15" customHeight="1">
      <c r="C296" s="43"/>
      <c r="D296" s="43"/>
      <c r="H296" s="44"/>
      <c r="I296" s="44"/>
      <c r="J296" s="53"/>
      <c r="K296" s="53"/>
    </row>
    <row r="297" spans="1:12" ht="15" customHeight="1">
      <c r="A297" s="37"/>
      <c r="B297" s="37"/>
      <c r="C297" s="38"/>
      <c r="D297" s="38"/>
      <c r="E297" s="37"/>
      <c r="F297" s="37"/>
      <c r="G297" s="37"/>
      <c r="H297" s="37"/>
      <c r="I297" s="37"/>
      <c r="J297" s="37"/>
      <c r="K297" s="37"/>
    </row>
    <row r="298" spans="1:12" ht="15" customHeight="1">
      <c r="A298" s="37"/>
      <c r="B298" s="37"/>
      <c r="C298" s="38"/>
      <c r="D298" s="38"/>
      <c r="E298" s="37"/>
      <c r="F298" s="37"/>
      <c r="G298" s="37"/>
      <c r="H298" s="39"/>
      <c r="I298" s="39"/>
      <c r="J298" s="37"/>
      <c r="K298" s="37"/>
    </row>
    <row r="299" spans="1:12" ht="15" customHeight="1">
      <c r="A299" s="37"/>
      <c r="B299" s="37"/>
      <c r="C299" s="38"/>
      <c r="D299" s="38"/>
      <c r="E299" s="37"/>
      <c r="F299" s="37"/>
      <c r="G299" s="37"/>
      <c r="H299" s="37"/>
      <c r="I299" s="37"/>
      <c r="J299" s="37"/>
      <c r="K299" s="37"/>
    </row>
  </sheetData>
  <mergeCells count="106">
    <mergeCell ref="I275:K276"/>
    <mergeCell ref="D276:F278"/>
    <mergeCell ref="A230:K232"/>
    <mergeCell ref="A212:K215"/>
    <mergeCell ref="D280:K286"/>
    <mergeCell ref="A137:F137"/>
    <mergeCell ref="H137:K137"/>
    <mergeCell ref="A142:F142"/>
    <mergeCell ref="H142:K142"/>
    <mergeCell ref="A143:F143"/>
    <mergeCell ref="H143:K143"/>
    <mergeCell ref="C260:G260"/>
    <mergeCell ref="J191:K191"/>
    <mergeCell ref="C192:G192"/>
    <mergeCell ref="J192:K192"/>
    <mergeCell ref="C183:G183"/>
    <mergeCell ref="J183:K183"/>
    <mergeCell ref="C184:G184"/>
    <mergeCell ref="J184:K184"/>
    <mergeCell ref="C185:G185"/>
    <mergeCell ref="J185:K185"/>
    <mergeCell ref="C186:G186"/>
    <mergeCell ref="J186:K186"/>
    <mergeCell ref="C187:G187"/>
    <mergeCell ref="C188:G188"/>
    <mergeCell ref="J188:K188"/>
    <mergeCell ref="C189:G189"/>
    <mergeCell ref="J189:K189"/>
    <mergeCell ref="C190:G190"/>
    <mergeCell ref="J190:K190"/>
    <mergeCell ref="C191:G191"/>
    <mergeCell ref="L86:L87"/>
    <mergeCell ref="A62:K64"/>
    <mergeCell ref="B65:K66"/>
    <mergeCell ref="B67:K69"/>
    <mergeCell ref="B70:K73"/>
    <mergeCell ref="F129:K130"/>
    <mergeCell ref="A86:K86"/>
    <mergeCell ref="A87:K87"/>
    <mergeCell ref="D93:K93"/>
    <mergeCell ref="D101:K101"/>
    <mergeCell ref="F126:K126"/>
    <mergeCell ref="J187:K187"/>
    <mergeCell ref="C178:G178"/>
    <mergeCell ref="J178:K178"/>
    <mergeCell ref="C179:G179"/>
    <mergeCell ref="J179:K179"/>
    <mergeCell ref="C180:G180"/>
    <mergeCell ref="A209:K209"/>
    <mergeCell ref="A210:K210"/>
    <mergeCell ref="A222:K222"/>
    <mergeCell ref="C234:G234"/>
    <mergeCell ref="C193:G193"/>
    <mergeCell ref="J193:K193"/>
    <mergeCell ref="C194:G194"/>
    <mergeCell ref="J194:K194"/>
    <mergeCell ref="C195:G195"/>
    <mergeCell ref="J195:K195"/>
    <mergeCell ref="C196:G196"/>
    <mergeCell ref="J196:K196"/>
    <mergeCell ref="A208:K208"/>
    <mergeCell ref="J180:K180"/>
    <mergeCell ref="C181:G181"/>
    <mergeCell ref="J181:K181"/>
    <mergeCell ref="C182:G182"/>
    <mergeCell ref="J182:K182"/>
    <mergeCell ref="C173:G173"/>
    <mergeCell ref="J173:K173"/>
    <mergeCell ref="C174:G174"/>
    <mergeCell ref="J174:K174"/>
    <mergeCell ref="C175:G175"/>
    <mergeCell ref="J175:K175"/>
    <mergeCell ref="C176:G176"/>
    <mergeCell ref="J176:K176"/>
    <mergeCell ref="C177:G177"/>
    <mergeCell ref="J177:K177"/>
    <mergeCell ref="A149:K149"/>
    <mergeCell ref="D154:K154"/>
    <mergeCell ref="A157:K157"/>
    <mergeCell ref="D161:K161"/>
    <mergeCell ref="C170:G170"/>
    <mergeCell ref="J170:K170"/>
    <mergeCell ref="C171:G171"/>
    <mergeCell ref="J171:K171"/>
    <mergeCell ref="C172:G172"/>
    <mergeCell ref="J172:K172"/>
    <mergeCell ref="A166:K168"/>
    <mergeCell ref="A145:K145"/>
    <mergeCell ref="A146:K146"/>
    <mergeCell ref="A147:K147"/>
    <mergeCell ref="D1:K1"/>
    <mergeCell ref="D2:K2"/>
    <mergeCell ref="D3:K3"/>
    <mergeCell ref="A10:K10"/>
    <mergeCell ref="A42:K42"/>
    <mergeCell ref="A43:K43"/>
    <mergeCell ref="A45:K45"/>
    <mergeCell ref="D50:K50"/>
    <mergeCell ref="A53:K53"/>
    <mergeCell ref="F131:K134"/>
    <mergeCell ref="A96:K97"/>
    <mergeCell ref="A136:K136"/>
    <mergeCell ref="D14:K15"/>
    <mergeCell ref="D17:K20"/>
    <mergeCell ref="D22:K27"/>
    <mergeCell ref="D57:K57"/>
  </mergeCells>
  <hyperlinks>
    <hyperlink ref="L89" location="Input!A72" display="balik ke input" xr:uid="{00000000-0004-0000-0F00-000000000000}"/>
    <hyperlink ref="L43" location="Input!A72" display="balik ke input" xr:uid="{00000000-0004-0000-0F00-000001000000}"/>
    <hyperlink ref="L6" location="Input!A72" display="balik ke input" xr:uid="{00000000-0004-0000-0F00-000002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rowBreaks count="5" manualBreakCount="5">
    <brk id="40" max="10" man="1"/>
    <brk id="84" max="10" man="1"/>
    <brk id="143" max="10" man="1"/>
    <brk id="206" max="10" man="1"/>
    <brk id="271" max="10" man="1"/>
  </rowBreaks>
  <colBreaks count="1" manualBreakCount="1">
    <brk id="11" max="71"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theme="6" tint="0.79998168889431442"/>
  </sheetPr>
  <dimension ref="A1:L42"/>
  <sheetViews>
    <sheetView view="pageBreakPreview" topLeftCell="A19" zoomScale="115" zoomScaleNormal="100" workbookViewId="0">
      <selection activeCell="I28" sqref="I28"/>
    </sheetView>
  </sheetViews>
  <sheetFormatPr defaultColWidth="9" defaultRowHeight="14.25"/>
  <cols>
    <col min="1" max="1" width="3.6640625" style="18" customWidth="1"/>
    <col min="2" max="2" width="5" style="18" customWidth="1"/>
    <col min="3" max="3" width="1.6640625" style="18" customWidth="1"/>
    <col min="4" max="4" width="16" style="18" customWidth="1"/>
    <col min="5" max="5" width="1.86328125" style="18" customWidth="1"/>
    <col min="6" max="6" width="16" style="18" customWidth="1"/>
    <col min="7" max="7" width="1.53125" style="18" customWidth="1"/>
    <col min="8" max="8" width="9.46484375" style="18" customWidth="1"/>
    <col min="9" max="9" width="9.86328125" style="18" customWidth="1"/>
    <col min="10" max="10" width="9.33203125" style="18" customWidth="1"/>
    <col min="11" max="11" width="12.86328125" style="18" customWidth="1"/>
    <col min="12" max="12" width="15" style="18" customWidth="1"/>
    <col min="13" max="258" width="9" style="18"/>
    <col min="259" max="259" width="9.86328125" style="18" customWidth="1"/>
    <col min="260" max="260" width="2" style="18" customWidth="1"/>
    <col min="261" max="261" width="12.53125" style="18" customWidth="1"/>
    <col min="262" max="262" width="1.86328125" style="18" customWidth="1"/>
    <col min="263" max="263" width="2" style="18" customWidth="1"/>
    <col min="264" max="264" width="16" style="18" customWidth="1"/>
    <col min="265" max="265" width="26" style="18" customWidth="1"/>
    <col min="266" max="266" width="9" style="18"/>
    <col min="267" max="267" width="9" style="18" customWidth="1"/>
    <col min="268" max="514" width="9" style="18"/>
    <col min="515" max="515" width="9.86328125" style="18" customWidth="1"/>
    <col min="516" max="516" width="2" style="18" customWidth="1"/>
    <col min="517" max="517" width="12.53125" style="18" customWidth="1"/>
    <col min="518" max="518" width="1.86328125" style="18" customWidth="1"/>
    <col min="519" max="519" width="2" style="18" customWidth="1"/>
    <col min="520" max="520" width="16" style="18" customWidth="1"/>
    <col min="521" max="521" width="26" style="18" customWidth="1"/>
    <col min="522" max="522" width="9" style="18"/>
    <col min="523" max="523" width="9" style="18" customWidth="1"/>
    <col min="524" max="770" width="9" style="18"/>
    <col min="771" max="771" width="9.86328125" style="18" customWidth="1"/>
    <col min="772" max="772" width="2" style="18" customWidth="1"/>
    <col min="773" max="773" width="12.53125" style="18" customWidth="1"/>
    <col min="774" max="774" width="1.86328125" style="18" customWidth="1"/>
    <col min="775" max="775" width="2" style="18" customWidth="1"/>
    <col min="776" max="776" width="16" style="18" customWidth="1"/>
    <col min="777" max="777" width="26" style="18" customWidth="1"/>
    <col min="778" max="778" width="9" style="18"/>
    <col min="779" max="779" width="9" style="18" customWidth="1"/>
    <col min="780" max="1026" width="9" style="18"/>
    <col min="1027" max="1027" width="9.86328125" style="18" customWidth="1"/>
    <col min="1028" max="1028" width="2" style="18" customWidth="1"/>
    <col min="1029" max="1029" width="12.53125" style="18" customWidth="1"/>
    <col min="1030" max="1030" width="1.86328125" style="18" customWidth="1"/>
    <col min="1031" max="1031" width="2" style="18" customWidth="1"/>
    <col min="1032" max="1032" width="16" style="18" customWidth="1"/>
    <col min="1033" max="1033" width="26" style="18" customWidth="1"/>
    <col min="1034" max="1034" width="9" style="18"/>
    <col min="1035" max="1035" width="9" style="18" customWidth="1"/>
    <col min="1036" max="1282" width="9" style="18"/>
    <col min="1283" max="1283" width="9.86328125" style="18" customWidth="1"/>
    <col min="1284" max="1284" width="2" style="18" customWidth="1"/>
    <col min="1285" max="1285" width="12.53125" style="18" customWidth="1"/>
    <col min="1286" max="1286" width="1.86328125" style="18" customWidth="1"/>
    <col min="1287" max="1287" width="2" style="18" customWidth="1"/>
    <col min="1288" max="1288" width="16" style="18" customWidth="1"/>
    <col min="1289" max="1289" width="26" style="18" customWidth="1"/>
    <col min="1290" max="1290" width="9" style="18"/>
    <col min="1291" max="1291" width="9" style="18" customWidth="1"/>
    <col min="1292" max="1538" width="9" style="18"/>
    <col min="1539" max="1539" width="9.86328125" style="18" customWidth="1"/>
    <col min="1540" max="1540" width="2" style="18" customWidth="1"/>
    <col min="1541" max="1541" width="12.53125" style="18" customWidth="1"/>
    <col min="1542" max="1542" width="1.86328125" style="18" customWidth="1"/>
    <col min="1543" max="1543" width="2" style="18" customWidth="1"/>
    <col min="1544" max="1544" width="16" style="18" customWidth="1"/>
    <col min="1545" max="1545" width="26" style="18" customWidth="1"/>
    <col min="1546" max="1546" width="9" style="18"/>
    <col min="1547" max="1547" width="9" style="18" customWidth="1"/>
    <col min="1548" max="1794" width="9" style="18"/>
    <col min="1795" max="1795" width="9.86328125" style="18" customWidth="1"/>
    <col min="1796" max="1796" width="2" style="18" customWidth="1"/>
    <col min="1797" max="1797" width="12.53125" style="18" customWidth="1"/>
    <col min="1798" max="1798" width="1.86328125" style="18" customWidth="1"/>
    <col min="1799" max="1799" width="2" style="18" customWidth="1"/>
    <col min="1800" max="1800" width="16" style="18" customWidth="1"/>
    <col min="1801" max="1801" width="26" style="18" customWidth="1"/>
    <col min="1802" max="1802" width="9" style="18"/>
    <col min="1803" max="1803" width="9" style="18" customWidth="1"/>
    <col min="1804" max="2050" width="9" style="18"/>
    <col min="2051" max="2051" width="9.86328125" style="18" customWidth="1"/>
    <col min="2052" max="2052" width="2" style="18" customWidth="1"/>
    <col min="2053" max="2053" width="12.53125" style="18" customWidth="1"/>
    <col min="2054" max="2054" width="1.86328125" style="18" customWidth="1"/>
    <col min="2055" max="2055" width="2" style="18" customWidth="1"/>
    <col min="2056" max="2056" width="16" style="18" customWidth="1"/>
    <col min="2057" max="2057" width="26" style="18" customWidth="1"/>
    <col min="2058" max="2058" width="9" style="18"/>
    <col min="2059" max="2059" width="9" style="18" customWidth="1"/>
    <col min="2060" max="2306" width="9" style="18"/>
    <col min="2307" max="2307" width="9.86328125" style="18" customWidth="1"/>
    <col min="2308" max="2308" width="2" style="18" customWidth="1"/>
    <col min="2309" max="2309" width="12.53125" style="18" customWidth="1"/>
    <col min="2310" max="2310" width="1.86328125" style="18" customWidth="1"/>
    <col min="2311" max="2311" width="2" style="18" customWidth="1"/>
    <col min="2312" max="2312" width="16" style="18" customWidth="1"/>
    <col min="2313" max="2313" width="26" style="18" customWidth="1"/>
    <col min="2314" max="2314" width="9" style="18"/>
    <col min="2315" max="2315" width="9" style="18" customWidth="1"/>
    <col min="2316" max="2562" width="9" style="18"/>
    <col min="2563" max="2563" width="9.86328125" style="18" customWidth="1"/>
    <col min="2564" max="2564" width="2" style="18" customWidth="1"/>
    <col min="2565" max="2565" width="12.53125" style="18" customWidth="1"/>
    <col min="2566" max="2566" width="1.86328125" style="18" customWidth="1"/>
    <col min="2567" max="2567" width="2" style="18" customWidth="1"/>
    <col min="2568" max="2568" width="16" style="18" customWidth="1"/>
    <col min="2569" max="2569" width="26" style="18" customWidth="1"/>
    <col min="2570" max="2570" width="9" style="18"/>
    <col min="2571" max="2571" width="9" style="18" customWidth="1"/>
    <col min="2572" max="2818" width="9" style="18"/>
    <col min="2819" max="2819" width="9.86328125" style="18" customWidth="1"/>
    <col min="2820" max="2820" width="2" style="18" customWidth="1"/>
    <col min="2821" max="2821" width="12.53125" style="18" customWidth="1"/>
    <col min="2822" max="2822" width="1.86328125" style="18" customWidth="1"/>
    <col min="2823" max="2823" width="2" style="18" customWidth="1"/>
    <col min="2824" max="2824" width="16" style="18" customWidth="1"/>
    <col min="2825" max="2825" width="26" style="18" customWidth="1"/>
    <col min="2826" max="2826" width="9" style="18"/>
    <col min="2827" max="2827" width="9" style="18" customWidth="1"/>
    <col min="2828" max="3074" width="9" style="18"/>
    <col min="3075" max="3075" width="9.86328125" style="18" customWidth="1"/>
    <col min="3076" max="3076" width="2" style="18" customWidth="1"/>
    <col min="3077" max="3077" width="12.53125" style="18" customWidth="1"/>
    <col min="3078" max="3078" width="1.86328125" style="18" customWidth="1"/>
    <col min="3079" max="3079" width="2" style="18" customWidth="1"/>
    <col min="3080" max="3080" width="16" style="18" customWidth="1"/>
    <col min="3081" max="3081" width="26" style="18" customWidth="1"/>
    <col min="3082" max="3082" width="9" style="18"/>
    <col min="3083" max="3083" width="9" style="18" customWidth="1"/>
    <col min="3084" max="3330" width="9" style="18"/>
    <col min="3331" max="3331" width="9.86328125" style="18" customWidth="1"/>
    <col min="3332" max="3332" width="2" style="18" customWidth="1"/>
    <col min="3333" max="3333" width="12.53125" style="18" customWidth="1"/>
    <col min="3334" max="3334" width="1.86328125" style="18" customWidth="1"/>
    <col min="3335" max="3335" width="2" style="18" customWidth="1"/>
    <col min="3336" max="3336" width="16" style="18" customWidth="1"/>
    <col min="3337" max="3337" width="26" style="18" customWidth="1"/>
    <col min="3338" max="3338" width="9" style="18"/>
    <col min="3339" max="3339" width="9" style="18" customWidth="1"/>
    <col min="3340" max="3586" width="9" style="18"/>
    <col min="3587" max="3587" width="9.86328125" style="18" customWidth="1"/>
    <col min="3588" max="3588" width="2" style="18" customWidth="1"/>
    <col min="3589" max="3589" width="12.53125" style="18" customWidth="1"/>
    <col min="3590" max="3590" width="1.86328125" style="18" customWidth="1"/>
    <col min="3591" max="3591" width="2" style="18" customWidth="1"/>
    <col min="3592" max="3592" width="16" style="18" customWidth="1"/>
    <col min="3593" max="3593" width="26" style="18" customWidth="1"/>
    <col min="3594" max="3594" width="9" style="18"/>
    <col min="3595" max="3595" width="9" style="18" customWidth="1"/>
    <col min="3596" max="3842" width="9" style="18"/>
    <col min="3843" max="3843" width="9.86328125" style="18" customWidth="1"/>
    <col min="3844" max="3844" width="2" style="18" customWidth="1"/>
    <col min="3845" max="3845" width="12.53125" style="18" customWidth="1"/>
    <col min="3846" max="3846" width="1.86328125" style="18" customWidth="1"/>
    <col min="3847" max="3847" width="2" style="18" customWidth="1"/>
    <col min="3848" max="3848" width="16" style="18" customWidth="1"/>
    <col min="3849" max="3849" width="26" style="18" customWidth="1"/>
    <col min="3850" max="3850" width="9" style="18"/>
    <col min="3851" max="3851" width="9" style="18" customWidth="1"/>
    <col min="3852" max="4098" width="9" style="18"/>
    <col min="4099" max="4099" width="9.86328125" style="18" customWidth="1"/>
    <col min="4100" max="4100" width="2" style="18" customWidth="1"/>
    <col min="4101" max="4101" width="12.53125" style="18" customWidth="1"/>
    <col min="4102" max="4102" width="1.86328125" style="18" customWidth="1"/>
    <col min="4103" max="4103" width="2" style="18" customWidth="1"/>
    <col min="4104" max="4104" width="16" style="18" customWidth="1"/>
    <col min="4105" max="4105" width="26" style="18" customWidth="1"/>
    <col min="4106" max="4106" width="9" style="18"/>
    <col min="4107" max="4107" width="9" style="18" customWidth="1"/>
    <col min="4108" max="4354" width="9" style="18"/>
    <col min="4355" max="4355" width="9.86328125" style="18" customWidth="1"/>
    <col min="4356" max="4356" width="2" style="18" customWidth="1"/>
    <col min="4357" max="4357" width="12.53125" style="18" customWidth="1"/>
    <col min="4358" max="4358" width="1.86328125" style="18" customWidth="1"/>
    <col min="4359" max="4359" width="2" style="18" customWidth="1"/>
    <col min="4360" max="4360" width="16" style="18" customWidth="1"/>
    <col min="4361" max="4361" width="26" style="18" customWidth="1"/>
    <col min="4362" max="4362" width="9" style="18"/>
    <col min="4363" max="4363" width="9" style="18" customWidth="1"/>
    <col min="4364" max="4610" width="9" style="18"/>
    <col min="4611" max="4611" width="9.86328125" style="18" customWidth="1"/>
    <col min="4612" max="4612" width="2" style="18" customWidth="1"/>
    <col min="4613" max="4613" width="12.53125" style="18" customWidth="1"/>
    <col min="4614" max="4614" width="1.86328125" style="18" customWidth="1"/>
    <col min="4615" max="4615" width="2" style="18" customWidth="1"/>
    <col min="4616" max="4616" width="16" style="18" customWidth="1"/>
    <col min="4617" max="4617" width="26" style="18" customWidth="1"/>
    <col min="4618" max="4618" width="9" style="18"/>
    <col min="4619" max="4619" width="9" style="18" customWidth="1"/>
    <col min="4620" max="4866" width="9" style="18"/>
    <col min="4867" max="4867" width="9.86328125" style="18" customWidth="1"/>
    <col min="4868" max="4868" width="2" style="18" customWidth="1"/>
    <col min="4869" max="4869" width="12.53125" style="18" customWidth="1"/>
    <col min="4870" max="4870" width="1.86328125" style="18" customWidth="1"/>
    <col min="4871" max="4871" width="2" style="18" customWidth="1"/>
    <col min="4872" max="4872" width="16" style="18" customWidth="1"/>
    <col min="4873" max="4873" width="26" style="18" customWidth="1"/>
    <col min="4874" max="4874" width="9" style="18"/>
    <col min="4875" max="4875" width="9" style="18" customWidth="1"/>
    <col min="4876" max="5122" width="9" style="18"/>
    <col min="5123" max="5123" width="9.86328125" style="18" customWidth="1"/>
    <col min="5124" max="5124" width="2" style="18" customWidth="1"/>
    <col min="5125" max="5125" width="12.53125" style="18" customWidth="1"/>
    <col min="5126" max="5126" width="1.86328125" style="18" customWidth="1"/>
    <col min="5127" max="5127" width="2" style="18" customWidth="1"/>
    <col min="5128" max="5128" width="16" style="18" customWidth="1"/>
    <col min="5129" max="5129" width="26" style="18" customWidth="1"/>
    <col min="5130" max="5130" width="9" style="18"/>
    <col min="5131" max="5131" width="9" style="18" customWidth="1"/>
    <col min="5132" max="5378" width="9" style="18"/>
    <col min="5379" max="5379" width="9.86328125" style="18" customWidth="1"/>
    <col min="5380" max="5380" width="2" style="18" customWidth="1"/>
    <col min="5381" max="5381" width="12.53125" style="18" customWidth="1"/>
    <col min="5382" max="5382" width="1.86328125" style="18" customWidth="1"/>
    <col min="5383" max="5383" width="2" style="18" customWidth="1"/>
    <col min="5384" max="5384" width="16" style="18" customWidth="1"/>
    <col min="5385" max="5385" width="26" style="18" customWidth="1"/>
    <col min="5386" max="5386" width="9" style="18"/>
    <col min="5387" max="5387" width="9" style="18" customWidth="1"/>
    <col min="5388" max="5634" width="9" style="18"/>
    <col min="5635" max="5635" width="9.86328125" style="18" customWidth="1"/>
    <col min="5636" max="5636" width="2" style="18" customWidth="1"/>
    <col min="5637" max="5637" width="12.53125" style="18" customWidth="1"/>
    <col min="5638" max="5638" width="1.86328125" style="18" customWidth="1"/>
    <col min="5639" max="5639" width="2" style="18" customWidth="1"/>
    <col min="5640" max="5640" width="16" style="18" customWidth="1"/>
    <col min="5641" max="5641" width="26" style="18" customWidth="1"/>
    <col min="5642" max="5642" width="9" style="18"/>
    <col min="5643" max="5643" width="9" style="18" customWidth="1"/>
    <col min="5644" max="5890" width="9" style="18"/>
    <col min="5891" max="5891" width="9.86328125" style="18" customWidth="1"/>
    <col min="5892" max="5892" width="2" style="18" customWidth="1"/>
    <col min="5893" max="5893" width="12.53125" style="18" customWidth="1"/>
    <col min="5894" max="5894" width="1.86328125" style="18" customWidth="1"/>
    <col min="5895" max="5895" width="2" style="18" customWidth="1"/>
    <col min="5896" max="5896" width="16" style="18" customWidth="1"/>
    <col min="5897" max="5897" width="26" style="18" customWidth="1"/>
    <col min="5898" max="5898" width="9" style="18"/>
    <col min="5899" max="5899" width="9" style="18" customWidth="1"/>
    <col min="5900" max="6146" width="9" style="18"/>
    <col min="6147" max="6147" width="9.86328125" style="18" customWidth="1"/>
    <col min="6148" max="6148" width="2" style="18" customWidth="1"/>
    <col min="6149" max="6149" width="12.53125" style="18" customWidth="1"/>
    <col min="6150" max="6150" width="1.86328125" style="18" customWidth="1"/>
    <col min="6151" max="6151" width="2" style="18" customWidth="1"/>
    <col min="6152" max="6152" width="16" style="18" customWidth="1"/>
    <col min="6153" max="6153" width="26" style="18" customWidth="1"/>
    <col min="6154" max="6154" width="9" style="18"/>
    <col min="6155" max="6155" width="9" style="18" customWidth="1"/>
    <col min="6156" max="6402" width="9" style="18"/>
    <col min="6403" max="6403" width="9.86328125" style="18" customWidth="1"/>
    <col min="6404" max="6404" width="2" style="18" customWidth="1"/>
    <col min="6405" max="6405" width="12.53125" style="18" customWidth="1"/>
    <col min="6406" max="6406" width="1.86328125" style="18" customWidth="1"/>
    <col min="6407" max="6407" width="2" style="18" customWidth="1"/>
    <col min="6408" max="6408" width="16" style="18" customWidth="1"/>
    <col min="6409" max="6409" width="26" style="18" customWidth="1"/>
    <col min="6410" max="6410" width="9" style="18"/>
    <col min="6411" max="6411" width="9" style="18" customWidth="1"/>
    <col min="6412" max="6658" width="9" style="18"/>
    <col min="6659" max="6659" width="9.86328125" style="18" customWidth="1"/>
    <col min="6660" max="6660" width="2" style="18" customWidth="1"/>
    <col min="6661" max="6661" width="12.53125" style="18" customWidth="1"/>
    <col min="6662" max="6662" width="1.86328125" style="18" customWidth="1"/>
    <col min="6663" max="6663" width="2" style="18" customWidth="1"/>
    <col min="6664" max="6664" width="16" style="18" customWidth="1"/>
    <col min="6665" max="6665" width="26" style="18" customWidth="1"/>
    <col min="6666" max="6666" width="9" style="18"/>
    <col min="6667" max="6667" width="9" style="18" customWidth="1"/>
    <col min="6668" max="6914" width="9" style="18"/>
    <col min="6915" max="6915" width="9.86328125" style="18" customWidth="1"/>
    <col min="6916" max="6916" width="2" style="18" customWidth="1"/>
    <col min="6917" max="6917" width="12.53125" style="18" customWidth="1"/>
    <col min="6918" max="6918" width="1.86328125" style="18" customWidth="1"/>
    <col min="6919" max="6919" width="2" style="18" customWidth="1"/>
    <col min="6920" max="6920" width="16" style="18" customWidth="1"/>
    <col min="6921" max="6921" width="26" style="18" customWidth="1"/>
    <col min="6922" max="6922" width="9" style="18"/>
    <col min="6923" max="6923" width="9" style="18" customWidth="1"/>
    <col min="6924" max="7170" width="9" style="18"/>
    <col min="7171" max="7171" width="9.86328125" style="18" customWidth="1"/>
    <col min="7172" max="7172" width="2" style="18" customWidth="1"/>
    <col min="7173" max="7173" width="12.53125" style="18" customWidth="1"/>
    <col min="7174" max="7174" width="1.86328125" style="18" customWidth="1"/>
    <col min="7175" max="7175" width="2" style="18" customWidth="1"/>
    <col min="7176" max="7176" width="16" style="18" customWidth="1"/>
    <col min="7177" max="7177" width="26" style="18" customWidth="1"/>
    <col min="7178" max="7178" width="9" style="18"/>
    <col min="7179" max="7179" width="9" style="18" customWidth="1"/>
    <col min="7180" max="7426" width="9" style="18"/>
    <col min="7427" max="7427" width="9.86328125" style="18" customWidth="1"/>
    <col min="7428" max="7428" width="2" style="18" customWidth="1"/>
    <col min="7429" max="7429" width="12.53125" style="18" customWidth="1"/>
    <col min="7430" max="7430" width="1.86328125" style="18" customWidth="1"/>
    <col min="7431" max="7431" width="2" style="18" customWidth="1"/>
    <col min="7432" max="7432" width="16" style="18" customWidth="1"/>
    <col min="7433" max="7433" width="26" style="18" customWidth="1"/>
    <col min="7434" max="7434" width="9" style="18"/>
    <col min="7435" max="7435" width="9" style="18" customWidth="1"/>
    <col min="7436" max="7682" width="9" style="18"/>
    <col min="7683" max="7683" width="9.86328125" style="18" customWidth="1"/>
    <col min="7684" max="7684" width="2" style="18" customWidth="1"/>
    <col min="7685" max="7685" width="12.53125" style="18" customWidth="1"/>
    <col min="7686" max="7686" width="1.86328125" style="18" customWidth="1"/>
    <col min="7687" max="7687" width="2" style="18" customWidth="1"/>
    <col min="7688" max="7688" width="16" style="18" customWidth="1"/>
    <col min="7689" max="7689" width="26" style="18" customWidth="1"/>
    <col min="7690" max="7690" width="9" style="18"/>
    <col min="7691" max="7691" width="9" style="18" customWidth="1"/>
    <col min="7692" max="7938" width="9" style="18"/>
    <col min="7939" max="7939" width="9.86328125" style="18" customWidth="1"/>
    <col min="7940" max="7940" width="2" style="18" customWidth="1"/>
    <col min="7941" max="7941" width="12.53125" style="18" customWidth="1"/>
    <col min="7942" max="7942" width="1.86328125" style="18" customWidth="1"/>
    <col min="7943" max="7943" width="2" style="18" customWidth="1"/>
    <col min="7944" max="7944" width="16" style="18" customWidth="1"/>
    <col min="7945" max="7945" width="26" style="18" customWidth="1"/>
    <col min="7946" max="7946" width="9" style="18"/>
    <col min="7947" max="7947" width="9" style="18" customWidth="1"/>
    <col min="7948" max="8194" width="9" style="18"/>
    <col min="8195" max="8195" width="9.86328125" style="18" customWidth="1"/>
    <col min="8196" max="8196" width="2" style="18" customWidth="1"/>
    <col min="8197" max="8197" width="12.53125" style="18" customWidth="1"/>
    <col min="8198" max="8198" width="1.86328125" style="18" customWidth="1"/>
    <col min="8199" max="8199" width="2" style="18" customWidth="1"/>
    <col min="8200" max="8200" width="16" style="18" customWidth="1"/>
    <col min="8201" max="8201" width="26" style="18" customWidth="1"/>
    <col min="8202" max="8202" width="9" style="18"/>
    <col min="8203" max="8203" width="9" style="18" customWidth="1"/>
    <col min="8204" max="8450" width="9" style="18"/>
    <col min="8451" max="8451" width="9.86328125" style="18" customWidth="1"/>
    <col min="8452" max="8452" width="2" style="18" customWidth="1"/>
    <col min="8453" max="8453" width="12.53125" style="18" customWidth="1"/>
    <col min="8454" max="8454" width="1.86328125" style="18" customWidth="1"/>
    <col min="8455" max="8455" width="2" style="18" customWidth="1"/>
    <col min="8456" max="8456" width="16" style="18" customWidth="1"/>
    <col min="8457" max="8457" width="26" style="18" customWidth="1"/>
    <col min="8458" max="8458" width="9" style="18"/>
    <col min="8459" max="8459" width="9" style="18" customWidth="1"/>
    <col min="8460" max="8706" width="9" style="18"/>
    <col min="8707" max="8707" width="9.86328125" style="18" customWidth="1"/>
    <col min="8708" max="8708" width="2" style="18" customWidth="1"/>
    <col min="8709" max="8709" width="12.53125" style="18" customWidth="1"/>
    <col min="8710" max="8710" width="1.86328125" style="18" customWidth="1"/>
    <col min="8711" max="8711" width="2" style="18" customWidth="1"/>
    <col min="8712" max="8712" width="16" style="18" customWidth="1"/>
    <col min="8713" max="8713" width="26" style="18" customWidth="1"/>
    <col min="8714" max="8714" width="9" style="18"/>
    <col min="8715" max="8715" width="9" style="18" customWidth="1"/>
    <col min="8716" max="8962" width="9" style="18"/>
    <col min="8963" max="8963" width="9.86328125" style="18" customWidth="1"/>
    <col min="8964" max="8964" width="2" style="18" customWidth="1"/>
    <col min="8965" max="8965" width="12.53125" style="18" customWidth="1"/>
    <col min="8966" max="8966" width="1.86328125" style="18" customWidth="1"/>
    <col min="8967" max="8967" width="2" style="18" customWidth="1"/>
    <col min="8968" max="8968" width="16" style="18" customWidth="1"/>
    <col min="8969" max="8969" width="26" style="18" customWidth="1"/>
    <col min="8970" max="8970" width="9" style="18"/>
    <col min="8971" max="8971" width="9" style="18" customWidth="1"/>
    <col min="8972" max="9218" width="9" style="18"/>
    <col min="9219" max="9219" width="9.86328125" style="18" customWidth="1"/>
    <col min="9220" max="9220" width="2" style="18" customWidth="1"/>
    <col min="9221" max="9221" width="12.53125" style="18" customWidth="1"/>
    <col min="9222" max="9222" width="1.86328125" style="18" customWidth="1"/>
    <col min="9223" max="9223" width="2" style="18" customWidth="1"/>
    <col min="9224" max="9224" width="16" style="18" customWidth="1"/>
    <col min="9225" max="9225" width="26" style="18" customWidth="1"/>
    <col min="9226" max="9226" width="9" style="18"/>
    <col min="9227" max="9227" width="9" style="18" customWidth="1"/>
    <col min="9228" max="9474" width="9" style="18"/>
    <col min="9475" max="9475" width="9.86328125" style="18" customWidth="1"/>
    <col min="9476" max="9476" width="2" style="18" customWidth="1"/>
    <col min="9477" max="9477" width="12.53125" style="18" customWidth="1"/>
    <col min="9478" max="9478" width="1.86328125" style="18" customWidth="1"/>
    <col min="9479" max="9479" width="2" style="18" customWidth="1"/>
    <col min="9480" max="9480" width="16" style="18" customWidth="1"/>
    <col min="9481" max="9481" width="26" style="18" customWidth="1"/>
    <col min="9482" max="9482" width="9" style="18"/>
    <col min="9483" max="9483" width="9" style="18" customWidth="1"/>
    <col min="9484" max="9730" width="9" style="18"/>
    <col min="9731" max="9731" width="9.86328125" style="18" customWidth="1"/>
    <col min="9732" max="9732" width="2" style="18" customWidth="1"/>
    <col min="9733" max="9733" width="12.53125" style="18" customWidth="1"/>
    <col min="9734" max="9734" width="1.86328125" style="18" customWidth="1"/>
    <col min="9735" max="9735" width="2" style="18" customWidth="1"/>
    <col min="9736" max="9736" width="16" style="18" customWidth="1"/>
    <col min="9737" max="9737" width="26" style="18" customWidth="1"/>
    <col min="9738" max="9738" width="9" style="18"/>
    <col min="9739" max="9739" width="9" style="18" customWidth="1"/>
    <col min="9740" max="9986" width="9" style="18"/>
    <col min="9987" max="9987" width="9.86328125" style="18" customWidth="1"/>
    <col min="9988" max="9988" width="2" style="18" customWidth="1"/>
    <col min="9989" max="9989" width="12.53125" style="18" customWidth="1"/>
    <col min="9990" max="9990" width="1.86328125" style="18" customWidth="1"/>
    <col min="9991" max="9991" width="2" style="18" customWidth="1"/>
    <col min="9992" max="9992" width="16" style="18" customWidth="1"/>
    <col min="9993" max="9993" width="26" style="18" customWidth="1"/>
    <col min="9994" max="9994" width="9" style="18"/>
    <col min="9995" max="9995" width="9" style="18" customWidth="1"/>
    <col min="9996" max="10242" width="9" style="18"/>
    <col min="10243" max="10243" width="9.86328125" style="18" customWidth="1"/>
    <col min="10244" max="10244" width="2" style="18" customWidth="1"/>
    <col min="10245" max="10245" width="12.53125" style="18" customWidth="1"/>
    <col min="10246" max="10246" width="1.86328125" style="18" customWidth="1"/>
    <col min="10247" max="10247" width="2" style="18" customWidth="1"/>
    <col min="10248" max="10248" width="16" style="18" customWidth="1"/>
    <col min="10249" max="10249" width="26" style="18" customWidth="1"/>
    <col min="10250" max="10250" width="9" style="18"/>
    <col min="10251" max="10251" width="9" style="18" customWidth="1"/>
    <col min="10252" max="10498" width="9" style="18"/>
    <col min="10499" max="10499" width="9.86328125" style="18" customWidth="1"/>
    <col min="10500" max="10500" width="2" style="18" customWidth="1"/>
    <col min="10501" max="10501" width="12.53125" style="18" customWidth="1"/>
    <col min="10502" max="10502" width="1.86328125" style="18" customWidth="1"/>
    <col min="10503" max="10503" width="2" style="18" customWidth="1"/>
    <col min="10504" max="10504" width="16" style="18" customWidth="1"/>
    <col min="10505" max="10505" width="26" style="18" customWidth="1"/>
    <col min="10506" max="10506" width="9" style="18"/>
    <col min="10507" max="10507" width="9" style="18" customWidth="1"/>
    <col min="10508" max="10754" width="9" style="18"/>
    <col min="10755" max="10755" width="9.86328125" style="18" customWidth="1"/>
    <col min="10756" max="10756" width="2" style="18" customWidth="1"/>
    <col min="10757" max="10757" width="12.53125" style="18" customWidth="1"/>
    <col min="10758" max="10758" width="1.86328125" style="18" customWidth="1"/>
    <col min="10759" max="10759" width="2" style="18" customWidth="1"/>
    <col min="10760" max="10760" width="16" style="18" customWidth="1"/>
    <col min="10761" max="10761" width="26" style="18" customWidth="1"/>
    <col min="10762" max="10762" width="9" style="18"/>
    <col min="10763" max="10763" width="9" style="18" customWidth="1"/>
    <col min="10764" max="11010" width="9" style="18"/>
    <col min="11011" max="11011" width="9.86328125" style="18" customWidth="1"/>
    <col min="11012" max="11012" width="2" style="18" customWidth="1"/>
    <col min="11013" max="11013" width="12.53125" style="18" customWidth="1"/>
    <col min="11014" max="11014" width="1.86328125" style="18" customWidth="1"/>
    <col min="11015" max="11015" width="2" style="18" customWidth="1"/>
    <col min="11016" max="11016" width="16" style="18" customWidth="1"/>
    <col min="11017" max="11017" width="26" style="18" customWidth="1"/>
    <col min="11018" max="11018" width="9" style="18"/>
    <col min="11019" max="11019" width="9" style="18" customWidth="1"/>
    <col min="11020" max="11266" width="9" style="18"/>
    <col min="11267" max="11267" width="9.86328125" style="18" customWidth="1"/>
    <col min="11268" max="11268" width="2" style="18" customWidth="1"/>
    <col min="11269" max="11269" width="12.53125" style="18" customWidth="1"/>
    <col min="11270" max="11270" width="1.86328125" style="18" customWidth="1"/>
    <col min="11271" max="11271" width="2" style="18" customWidth="1"/>
    <col min="11272" max="11272" width="16" style="18" customWidth="1"/>
    <col min="11273" max="11273" width="26" style="18" customWidth="1"/>
    <col min="11274" max="11274" width="9" style="18"/>
    <col min="11275" max="11275" width="9" style="18" customWidth="1"/>
    <col min="11276" max="11522" width="9" style="18"/>
    <col min="11523" max="11523" width="9.86328125" style="18" customWidth="1"/>
    <col min="11524" max="11524" width="2" style="18" customWidth="1"/>
    <col min="11525" max="11525" width="12.53125" style="18" customWidth="1"/>
    <col min="11526" max="11526" width="1.86328125" style="18" customWidth="1"/>
    <col min="11527" max="11527" width="2" style="18" customWidth="1"/>
    <col min="11528" max="11528" width="16" style="18" customWidth="1"/>
    <col min="11529" max="11529" width="26" style="18" customWidth="1"/>
    <col min="11530" max="11530" width="9" style="18"/>
    <col min="11531" max="11531" width="9" style="18" customWidth="1"/>
    <col min="11532" max="11778" width="9" style="18"/>
    <col min="11779" max="11779" width="9.86328125" style="18" customWidth="1"/>
    <col min="11780" max="11780" width="2" style="18" customWidth="1"/>
    <col min="11781" max="11781" width="12.53125" style="18" customWidth="1"/>
    <col min="11782" max="11782" width="1.86328125" style="18" customWidth="1"/>
    <col min="11783" max="11783" width="2" style="18" customWidth="1"/>
    <col min="11784" max="11784" width="16" style="18" customWidth="1"/>
    <col min="11785" max="11785" width="26" style="18" customWidth="1"/>
    <col min="11786" max="11786" width="9" style="18"/>
    <col min="11787" max="11787" width="9" style="18" customWidth="1"/>
    <col min="11788" max="12034" width="9" style="18"/>
    <col min="12035" max="12035" width="9.86328125" style="18" customWidth="1"/>
    <col min="12036" max="12036" width="2" style="18" customWidth="1"/>
    <col min="12037" max="12037" width="12.53125" style="18" customWidth="1"/>
    <col min="12038" max="12038" width="1.86328125" style="18" customWidth="1"/>
    <col min="12039" max="12039" width="2" style="18" customWidth="1"/>
    <col min="12040" max="12040" width="16" style="18" customWidth="1"/>
    <col min="12041" max="12041" width="26" style="18" customWidth="1"/>
    <col min="12042" max="12042" width="9" style="18"/>
    <col min="12043" max="12043" width="9" style="18" customWidth="1"/>
    <col min="12044" max="12290" width="9" style="18"/>
    <col min="12291" max="12291" width="9.86328125" style="18" customWidth="1"/>
    <col min="12292" max="12292" width="2" style="18" customWidth="1"/>
    <col min="12293" max="12293" width="12.53125" style="18" customWidth="1"/>
    <col min="12294" max="12294" width="1.86328125" style="18" customWidth="1"/>
    <col min="12295" max="12295" width="2" style="18" customWidth="1"/>
    <col min="12296" max="12296" width="16" style="18" customWidth="1"/>
    <col min="12297" max="12297" width="26" style="18" customWidth="1"/>
    <col min="12298" max="12298" width="9" style="18"/>
    <col min="12299" max="12299" width="9" style="18" customWidth="1"/>
    <col min="12300" max="12546" width="9" style="18"/>
    <col min="12547" max="12547" width="9.86328125" style="18" customWidth="1"/>
    <col min="12548" max="12548" width="2" style="18" customWidth="1"/>
    <col min="12549" max="12549" width="12.53125" style="18" customWidth="1"/>
    <col min="12550" max="12550" width="1.86328125" style="18" customWidth="1"/>
    <col min="12551" max="12551" width="2" style="18" customWidth="1"/>
    <col min="12552" max="12552" width="16" style="18" customWidth="1"/>
    <col min="12553" max="12553" width="26" style="18" customWidth="1"/>
    <col min="12554" max="12554" width="9" style="18"/>
    <col min="12555" max="12555" width="9" style="18" customWidth="1"/>
    <col min="12556" max="12802" width="9" style="18"/>
    <col min="12803" max="12803" width="9.86328125" style="18" customWidth="1"/>
    <col min="12804" max="12804" width="2" style="18" customWidth="1"/>
    <col min="12805" max="12805" width="12.53125" style="18" customWidth="1"/>
    <col min="12806" max="12806" width="1.86328125" style="18" customWidth="1"/>
    <col min="12807" max="12807" width="2" style="18" customWidth="1"/>
    <col min="12808" max="12808" width="16" style="18" customWidth="1"/>
    <col min="12809" max="12809" width="26" style="18" customWidth="1"/>
    <col min="12810" max="12810" width="9" style="18"/>
    <col min="12811" max="12811" width="9" style="18" customWidth="1"/>
    <col min="12812" max="13058" width="9" style="18"/>
    <col min="13059" max="13059" width="9.86328125" style="18" customWidth="1"/>
    <col min="13060" max="13060" width="2" style="18" customWidth="1"/>
    <col min="13061" max="13061" width="12.53125" style="18" customWidth="1"/>
    <col min="13062" max="13062" width="1.86328125" style="18" customWidth="1"/>
    <col min="13063" max="13063" width="2" style="18" customWidth="1"/>
    <col min="13064" max="13064" width="16" style="18" customWidth="1"/>
    <col min="13065" max="13065" width="26" style="18" customWidth="1"/>
    <col min="13066" max="13066" width="9" style="18"/>
    <col min="13067" max="13067" width="9" style="18" customWidth="1"/>
    <col min="13068" max="13314" width="9" style="18"/>
    <col min="13315" max="13315" width="9.86328125" style="18" customWidth="1"/>
    <col min="13316" max="13316" width="2" style="18" customWidth="1"/>
    <col min="13317" max="13317" width="12.53125" style="18" customWidth="1"/>
    <col min="13318" max="13318" width="1.86328125" style="18" customWidth="1"/>
    <col min="13319" max="13319" width="2" style="18" customWidth="1"/>
    <col min="13320" max="13320" width="16" style="18" customWidth="1"/>
    <col min="13321" max="13321" width="26" style="18" customWidth="1"/>
    <col min="13322" max="13322" width="9" style="18"/>
    <col min="13323" max="13323" width="9" style="18" customWidth="1"/>
    <col min="13324" max="13570" width="9" style="18"/>
    <col min="13571" max="13571" width="9.86328125" style="18" customWidth="1"/>
    <col min="13572" max="13572" width="2" style="18" customWidth="1"/>
    <col min="13573" max="13573" width="12.53125" style="18" customWidth="1"/>
    <col min="13574" max="13574" width="1.86328125" style="18" customWidth="1"/>
    <col min="13575" max="13575" width="2" style="18" customWidth="1"/>
    <col min="13576" max="13576" width="16" style="18" customWidth="1"/>
    <col min="13577" max="13577" width="26" style="18" customWidth="1"/>
    <col min="13578" max="13578" width="9" style="18"/>
    <col min="13579" max="13579" width="9" style="18" customWidth="1"/>
    <col min="13580" max="13826" width="9" style="18"/>
    <col min="13827" max="13827" width="9.86328125" style="18" customWidth="1"/>
    <col min="13828" max="13828" width="2" style="18" customWidth="1"/>
    <col min="13829" max="13829" width="12.53125" style="18" customWidth="1"/>
    <col min="13830" max="13830" width="1.86328125" style="18" customWidth="1"/>
    <col min="13831" max="13831" width="2" style="18" customWidth="1"/>
    <col min="13832" max="13832" width="16" style="18" customWidth="1"/>
    <col min="13833" max="13833" width="26" style="18" customWidth="1"/>
    <col min="13834" max="13834" width="9" style="18"/>
    <col min="13835" max="13835" width="9" style="18" customWidth="1"/>
    <col min="13836" max="14082" width="9" style="18"/>
    <col min="14083" max="14083" width="9.86328125" style="18" customWidth="1"/>
    <col min="14084" max="14084" width="2" style="18" customWidth="1"/>
    <col min="14085" max="14085" width="12.53125" style="18" customWidth="1"/>
    <col min="14086" max="14086" width="1.86328125" style="18" customWidth="1"/>
    <col min="14087" max="14087" width="2" style="18" customWidth="1"/>
    <col min="14088" max="14088" width="16" style="18" customWidth="1"/>
    <col min="14089" max="14089" width="26" style="18" customWidth="1"/>
    <col min="14090" max="14090" width="9" style="18"/>
    <col min="14091" max="14091" width="9" style="18" customWidth="1"/>
    <col min="14092" max="14338" width="9" style="18"/>
    <col min="14339" max="14339" width="9.86328125" style="18" customWidth="1"/>
    <col min="14340" max="14340" width="2" style="18" customWidth="1"/>
    <col min="14341" max="14341" width="12.53125" style="18" customWidth="1"/>
    <col min="14342" max="14342" width="1.86328125" style="18" customWidth="1"/>
    <col min="14343" max="14343" width="2" style="18" customWidth="1"/>
    <col min="14344" max="14344" width="16" style="18" customWidth="1"/>
    <col min="14345" max="14345" width="26" style="18" customWidth="1"/>
    <col min="14346" max="14346" width="9" style="18"/>
    <col min="14347" max="14347" width="9" style="18" customWidth="1"/>
    <col min="14348" max="14594" width="9" style="18"/>
    <col min="14595" max="14595" width="9.86328125" style="18" customWidth="1"/>
    <col min="14596" max="14596" width="2" style="18" customWidth="1"/>
    <col min="14597" max="14597" width="12.53125" style="18" customWidth="1"/>
    <col min="14598" max="14598" width="1.86328125" style="18" customWidth="1"/>
    <col min="14599" max="14599" width="2" style="18" customWidth="1"/>
    <col min="14600" max="14600" width="16" style="18" customWidth="1"/>
    <col min="14601" max="14601" width="26" style="18" customWidth="1"/>
    <col min="14602" max="14602" width="9" style="18"/>
    <col min="14603" max="14603" width="9" style="18" customWidth="1"/>
    <col min="14604" max="14850" width="9" style="18"/>
    <col min="14851" max="14851" width="9.86328125" style="18" customWidth="1"/>
    <col min="14852" max="14852" width="2" style="18" customWidth="1"/>
    <col min="14853" max="14853" width="12.53125" style="18" customWidth="1"/>
    <col min="14854" max="14854" width="1.86328125" style="18" customWidth="1"/>
    <col min="14855" max="14855" width="2" style="18" customWidth="1"/>
    <col min="14856" max="14856" width="16" style="18" customWidth="1"/>
    <col min="14857" max="14857" width="26" style="18" customWidth="1"/>
    <col min="14858" max="14858" width="9" style="18"/>
    <col min="14859" max="14859" width="9" style="18" customWidth="1"/>
    <col min="14860" max="15106" width="9" style="18"/>
    <col min="15107" max="15107" width="9.86328125" style="18" customWidth="1"/>
    <col min="15108" max="15108" width="2" style="18" customWidth="1"/>
    <col min="15109" max="15109" width="12.53125" style="18" customWidth="1"/>
    <col min="15110" max="15110" width="1.86328125" style="18" customWidth="1"/>
    <col min="15111" max="15111" width="2" style="18" customWidth="1"/>
    <col min="15112" max="15112" width="16" style="18" customWidth="1"/>
    <col min="15113" max="15113" width="26" style="18" customWidth="1"/>
    <col min="15114" max="15114" width="9" style="18"/>
    <col min="15115" max="15115" width="9" style="18" customWidth="1"/>
    <col min="15116" max="15362" width="9" style="18"/>
    <col min="15363" max="15363" width="9.86328125" style="18" customWidth="1"/>
    <col min="15364" max="15364" width="2" style="18" customWidth="1"/>
    <col min="15365" max="15365" width="12.53125" style="18" customWidth="1"/>
    <col min="15366" max="15366" width="1.86328125" style="18" customWidth="1"/>
    <col min="15367" max="15367" width="2" style="18" customWidth="1"/>
    <col min="15368" max="15368" width="16" style="18" customWidth="1"/>
    <col min="15369" max="15369" width="26" style="18" customWidth="1"/>
    <col min="15370" max="15370" width="9" style="18"/>
    <col min="15371" max="15371" width="9" style="18" customWidth="1"/>
    <col min="15372" max="15618" width="9" style="18"/>
    <col min="15619" max="15619" width="9.86328125" style="18" customWidth="1"/>
    <col min="15620" max="15620" width="2" style="18" customWidth="1"/>
    <col min="15621" max="15621" width="12.53125" style="18" customWidth="1"/>
    <col min="15622" max="15622" width="1.86328125" style="18" customWidth="1"/>
    <col min="15623" max="15623" width="2" style="18" customWidth="1"/>
    <col min="15624" max="15624" width="16" style="18" customWidth="1"/>
    <col min="15625" max="15625" width="26" style="18" customWidth="1"/>
    <col min="15626" max="15626" width="9" style="18"/>
    <col min="15627" max="15627" width="9" style="18" customWidth="1"/>
    <col min="15628" max="15874" width="9" style="18"/>
    <col min="15875" max="15875" width="9.86328125" style="18" customWidth="1"/>
    <col min="15876" max="15876" width="2" style="18" customWidth="1"/>
    <col min="15877" max="15877" width="12.53125" style="18" customWidth="1"/>
    <col min="15878" max="15878" width="1.86328125" style="18" customWidth="1"/>
    <col min="15879" max="15879" width="2" style="18" customWidth="1"/>
    <col min="15880" max="15880" width="16" style="18" customWidth="1"/>
    <col min="15881" max="15881" width="26" style="18" customWidth="1"/>
    <col min="15882" max="15882" width="9" style="18"/>
    <col min="15883" max="15883" width="9" style="18" customWidth="1"/>
    <col min="15884" max="16130" width="9" style="18"/>
    <col min="16131" max="16131" width="9.86328125" style="18" customWidth="1"/>
    <col min="16132" max="16132" width="2" style="18" customWidth="1"/>
    <col min="16133" max="16133" width="12.53125" style="18" customWidth="1"/>
    <col min="16134" max="16134" width="1.86328125" style="18" customWidth="1"/>
    <col min="16135" max="16135" width="2" style="18" customWidth="1"/>
    <col min="16136" max="16136" width="16" style="18" customWidth="1"/>
    <col min="16137" max="16137" width="26" style="18" customWidth="1"/>
    <col min="16138" max="16138" width="9" style="18"/>
    <col min="16139" max="16139" width="9" style="18" customWidth="1"/>
    <col min="16140" max="16384" width="9" style="18"/>
  </cols>
  <sheetData>
    <row r="1" spans="1:12">
      <c r="A1" s="37" t="s">
        <v>1172</v>
      </c>
    </row>
    <row r="2" spans="1:12" ht="17.25">
      <c r="D2" s="866"/>
      <c r="E2" s="866"/>
      <c r="F2" s="866"/>
      <c r="G2" s="866"/>
      <c r="H2" s="866"/>
      <c r="I2" s="866"/>
      <c r="J2" s="866"/>
      <c r="K2" s="866"/>
    </row>
    <row r="3" spans="1:12" ht="47.1" customHeight="1">
      <c r="D3" s="867" t="s">
        <v>1173</v>
      </c>
      <c r="E3" s="867"/>
      <c r="F3" s="867"/>
      <c r="G3" s="867"/>
      <c r="H3" s="867"/>
      <c r="I3" s="867"/>
      <c r="J3" s="867"/>
      <c r="K3" s="867"/>
    </row>
    <row r="4" spans="1:12" ht="17.850000000000001" customHeight="1">
      <c r="A4" s="24"/>
      <c r="B4" s="24"/>
      <c r="C4" s="24"/>
      <c r="D4" s="868"/>
      <c r="E4" s="868"/>
      <c r="F4" s="868"/>
      <c r="G4" s="868"/>
      <c r="H4" s="868"/>
      <c r="I4" s="868"/>
      <c r="J4" s="868"/>
      <c r="K4" s="868"/>
    </row>
    <row r="5" spans="1:12" ht="5.25" customHeight="1"/>
    <row r="6" spans="1:12" ht="15" customHeight="1"/>
    <row r="7" spans="1:12" ht="15" customHeight="1">
      <c r="A7" s="27"/>
      <c r="B7" s="27"/>
      <c r="C7" s="27"/>
      <c r="D7" s="27"/>
      <c r="E7" s="27"/>
      <c r="F7" s="27"/>
      <c r="G7" s="27"/>
      <c r="H7" s="27"/>
      <c r="I7" s="27"/>
      <c r="J7" s="27"/>
      <c r="K7" s="72" t="str">
        <f>Input!$D$145&amp;", "&amp;TEXT(Input!F100,"[$-421]d mmmm yyyy")</f>
        <v>Ranjok Tebing, 1 September 2023</v>
      </c>
    </row>
    <row r="8" spans="1:12" ht="15" customHeight="1">
      <c r="A8" s="60" t="s">
        <v>237</v>
      </c>
      <c r="B8" s="60"/>
      <c r="C8" s="60" t="s">
        <v>2</v>
      </c>
      <c r="D8" s="60" t="str">
        <f>Input!$D$100</f>
        <v>nomor penyedia</v>
      </c>
      <c r="E8" s="60"/>
      <c r="F8" s="60"/>
      <c r="G8" s="60"/>
      <c r="H8" s="60"/>
      <c r="L8" s="71" t="s">
        <v>253</v>
      </c>
    </row>
    <row r="9" spans="1:12" ht="15" customHeight="1">
      <c r="A9" s="37" t="s">
        <v>267</v>
      </c>
      <c r="B9" s="37"/>
      <c r="C9" s="37" t="s">
        <v>2</v>
      </c>
      <c r="D9" s="796" t="s">
        <v>847</v>
      </c>
      <c r="E9" s="37"/>
      <c r="F9" s="37"/>
      <c r="G9" s="37"/>
      <c r="H9" s="37"/>
      <c r="L9" s="56"/>
    </row>
    <row r="10" spans="1:12" ht="15" customHeight="1">
      <c r="D10" s="75"/>
      <c r="E10" s="75"/>
      <c r="F10" s="75"/>
      <c r="G10" s="75"/>
      <c r="H10" s="60"/>
      <c r="L10" s="60"/>
    </row>
    <row r="11" spans="1:12" ht="15" customHeight="1">
      <c r="A11" s="60" t="s">
        <v>848</v>
      </c>
      <c r="B11" s="60"/>
      <c r="C11" s="60"/>
    </row>
    <row r="12" spans="1:12" ht="15" customHeight="1">
      <c r="A12" s="37" t="str">
        <f>ppk_jab</f>
        <v>Pejabat Pembuat Komitmen</v>
      </c>
      <c r="B12" s="37"/>
      <c r="C12" s="37"/>
    </row>
    <row r="13" spans="1:12" ht="15" customHeight="1">
      <c r="A13" s="37" t="str">
        <f>opd_nama</f>
        <v>Badan Pengelolaan Keuangan dan Aset Daerah</v>
      </c>
      <c r="B13" s="37"/>
      <c r="C13" s="37"/>
    </row>
    <row r="14" spans="1:12" ht="15" customHeight="1">
      <c r="A14" s="60" t="s">
        <v>849</v>
      </c>
      <c r="B14" s="60"/>
      <c r="C14" s="60"/>
    </row>
    <row r="15" spans="1:12" ht="15" customHeight="1">
      <c r="A15" s="60"/>
      <c r="C15" s="60" t="str">
        <f>ppk_lok</f>
        <v>Mataram</v>
      </c>
    </row>
    <row r="16" spans="1:12" ht="15" customHeight="1"/>
    <row r="17" spans="1:12" ht="15" customHeight="1">
      <c r="A17" s="60" t="s">
        <v>269</v>
      </c>
      <c r="B17" s="60"/>
      <c r="C17" s="60" t="s">
        <v>2</v>
      </c>
      <c r="D17" s="1089" t="str">
        <f>"Penyerahan Hasil Pekerjaan "&amp;paket</f>
        <v>Penyerahan Hasil Pekerjaan Belanja Pemeliharaan Bangunan Gedung-Bangunan Gedung Tempat Kerja-Bangunan Gedung Kantor-Pemeliharaan Gedung Bertingkat</v>
      </c>
      <c r="E17" s="1089"/>
      <c r="F17" s="1089"/>
      <c r="G17" s="1089"/>
      <c r="H17" s="1089"/>
      <c r="I17" s="1089"/>
      <c r="J17" s="1089"/>
      <c r="K17" s="1089"/>
      <c r="L17" s="56"/>
    </row>
    <row r="18" spans="1:12" ht="15" customHeight="1">
      <c r="A18" s="60"/>
      <c r="B18" s="60"/>
      <c r="C18" s="60"/>
      <c r="D18" s="1282"/>
      <c r="E18" s="1282"/>
      <c r="F18" s="1282"/>
      <c r="G18" s="1282"/>
      <c r="H18" s="1282"/>
      <c r="I18" s="1282"/>
      <c r="J18" s="1282"/>
      <c r="K18" s="1282"/>
      <c r="L18" s="56"/>
    </row>
    <row r="19" spans="1:12" ht="15" customHeight="1">
      <c r="A19" s="60"/>
      <c r="B19" s="60"/>
      <c r="C19" s="60"/>
      <c r="D19" s="75"/>
      <c r="E19" s="75"/>
      <c r="F19" s="75"/>
      <c r="G19" s="75"/>
      <c r="H19" s="60"/>
      <c r="L19" s="60"/>
    </row>
    <row r="20" spans="1:12" ht="15" customHeight="1">
      <c r="A20" s="1021" t="str">
        <f>"Sehubungan dengan telah selesainya pelaksanaan pekerjaan "&amp;paket&amp;" sesuai dengan Surat Perintah Kerja (SPK) nomor "&amp;Input!$D$91&amp;" tanggal "&amp;Input!$H$91&amp;" dengan nilai Rp. "&amp;TEXT(bu_hn,tiko1)&amp;" ("&amp;bu_hn2&amp;"), maka berkaitan dengan hal tersebut diatas kami mohon untuk dapat dilakukan pemeriksaan pekerjaan dan selanjutnya dapat dilakukan Serah Terima Pekerjaan 100% (seratus persen)."</f>
        <v>Sehubungan dengan telah selesainya pelaksanaan pekerjaan Belanja Pemeliharaan Bangunan Gedung-Bangunan Gedung Tempat Kerja-Bangunan Gedung Kantor-Pemeliharaan Gedung Bertingkat sesuai dengan Surat Perintah Kerja (SPK) nomor 027.1/1/SPK/BPKAD/2025 tanggal 3 Agustus 2023 dengan nilai Rp. 69,862,000 (Enam Puluh Sembilan Juta Delapan Ratus Enam Puluh Dua Ribu Rupiah), maka berkaitan dengan hal tersebut diatas kami mohon untuk dapat dilakukan pemeriksaan pekerjaan dan selanjutnya dapat dilakukan Serah Terima Pekerjaan 100% (seratus persen).</v>
      </c>
      <c r="B20" s="1021"/>
      <c r="C20" s="1021"/>
      <c r="D20" s="1021"/>
      <c r="E20" s="1021"/>
      <c r="F20" s="1021"/>
      <c r="G20" s="1021"/>
      <c r="H20" s="1021"/>
      <c r="I20" s="1021"/>
      <c r="J20" s="1021"/>
      <c r="K20" s="1021"/>
    </row>
    <row r="21" spans="1:12" ht="15" customHeight="1">
      <c r="A21" s="1021"/>
      <c r="B21" s="1021"/>
      <c r="C21" s="1021"/>
      <c r="D21" s="1021"/>
      <c r="E21" s="1021"/>
      <c r="F21" s="1021"/>
      <c r="G21" s="1021"/>
      <c r="H21" s="1021"/>
      <c r="I21" s="1021"/>
      <c r="J21" s="1021"/>
      <c r="K21" s="1021"/>
    </row>
    <row r="22" spans="1:12" ht="15" customHeight="1">
      <c r="A22" s="1021"/>
      <c r="B22" s="1021"/>
      <c r="C22" s="1021"/>
      <c r="D22" s="1021"/>
      <c r="E22" s="1021"/>
      <c r="F22" s="1021"/>
      <c r="G22" s="1021"/>
      <c r="H22" s="1021"/>
      <c r="I22" s="1021"/>
      <c r="J22" s="1021"/>
      <c r="K22" s="1021"/>
    </row>
    <row r="23" spans="1:12" ht="15" customHeight="1">
      <c r="A23" s="1021"/>
      <c r="B23" s="1021"/>
      <c r="C23" s="1021"/>
      <c r="D23" s="1021"/>
      <c r="E23" s="1021"/>
      <c r="F23" s="1021"/>
      <c r="G23" s="1021"/>
      <c r="H23" s="1021"/>
      <c r="I23" s="1021"/>
      <c r="J23" s="1021"/>
      <c r="K23" s="1021"/>
    </row>
    <row r="24" spans="1:12" ht="15" customHeight="1">
      <c r="A24" s="1021"/>
      <c r="B24" s="1021"/>
      <c r="C24" s="1021"/>
      <c r="D24" s="1021"/>
      <c r="E24" s="1021"/>
      <c r="F24" s="1021"/>
      <c r="G24" s="1021"/>
      <c r="H24" s="1021"/>
      <c r="I24" s="1021"/>
      <c r="J24" s="1021"/>
      <c r="K24" s="1021"/>
    </row>
    <row r="25" spans="1:12" ht="15" customHeight="1">
      <c r="C25" s="43"/>
      <c r="D25" s="43"/>
      <c r="H25" s="44"/>
      <c r="I25" s="44"/>
      <c r="J25" s="53"/>
      <c r="K25" s="53"/>
    </row>
    <row r="26" spans="1:12" ht="15" customHeight="1">
      <c r="A26" s="37" t="s">
        <v>1174</v>
      </c>
      <c r="C26" s="38"/>
      <c r="D26" s="37"/>
      <c r="E26" s="37"/>
      <c r="F26" s="37"/>
      <c r="G26" s="37"/>
      <c r="H26" s="37"/>
      <c r="I26" s="37"/>
      <c r="J26" s="37"/>
      <c r="K26" s="37"/>
    </row>
    <row r="27" spans="1:12" ht="15" customHeight="1">
      <c r="C27" s="43"/>
      <c r="D27" s="43"/>
      <c r="H27" s="54"/>
      <c r="I27" s="54"/>
      <c r="J27" s="53"/>
      <c r="K27" s="53"/>
    </row>
    <row r="28" spans="1:12" ht="15" customHeight="1">
      <c r="C28" s="43"/>
      <c r="D28" s="43"/>
      <c r="I28" s="44" t="str">
        <f>bu_nama</f>
        <v>PT. DARUSSALAM MEDIA GROUP</v>
      </c>
      <c r="J28" s="67"/>
      <c r="K28" s="53"/>
      <c r="L28" s="53"/>
    </row>
    <row r="29" spans="1:12" ht="15" customHeight="1">
      <c r="C29" s="43"/>
      <c r="D29" s="43"/>
      <c r="I29" s="54"/>
      <c r="J29" s="54"/>
      <c r="K29" s="53"/>
      <c r="L29" s="53"/>
    </row>
    <row r="30" spans="1:12" ht="15" customHeight="1">
      <c r="C30" s="43"/>
      <c r="D30" s="43"/>
      <c r="I30" s="44"/>
      <c r="J30" s="44"/>
      <c r="K30" s="53"/>
      <c r="L30" s="53"/>
    </row>
    <row r="31" spans="1:12" ht="15" customHeight="1">
      <c r="C31" s="43"/>
      <c r="D31" s="43"/>
      <c r="I31" s="44"/>
      <c r="J31" s="44"/>
      <c r="K31" s="53"/>
      <c r="L31" s="53"/>
    </row>
    <row r="32" spans="1:12" ht="15" customHeight="1">
      <c r="C32" s="43"/>
      <c r="D32" s="43"/>
      <c r="I32" s="55" t="str">
        <f>bu_pimn</f>
        <v>Saripudin</v>
      </c>
      <c r="J32" s="55"/>
      <c r="K32" s="53"/>
      <c r="L32" s="53"/>
    </row>
    <row r="33" spans="1:12" ht="15" customHeight="1">
      <c r="C33" s="43"/>
      <c r="D33" s="43"/>
      <c r="I33" s="44" t="str">
        <f>bu_pim</f>
        <v>Direktur</v>
      </c>
      <c r="J33" s="44"/>
      <c r="K33" s="53"/>
      <c r="L33" s="53"/>
    </row>
    <row r="34" spans="1:12" ht="15" customHeight="1">
      <c r="A34" s="37"/>
      <c r="B34" s="37"/>
      <c r="C34" s="38"/>
      <c r="D34" s="38"/>
      <c r="E34" s="37"/>
      <c r="F34" s="37"/>
      <c r="G34" s="37"/>
      <c r="H34" s="37"/>
      <c r="I34" s="37"/>
      <c r="J34" s="37"/>
      <c r="K34" s="37"/>
      <c r="L34" s="53"/>
    </row>
    <row r="35" spans="1:12" ht="15" customHeight="1">
      <c r="A35" s="37" t="s">
        <v>1175</v>
      </c>
      <c r="B35" s="37"/>
      <c r="C35" s="38"/>
      <c r="D35" s="38"/>
      <c r="E35" s="37"/>
      <c r="F35" s="37"/>
      <c r="G35" s="37"/>
      <c r="H35" s="37"/>
      <c r="I35" s="37"/>
      <c r="J35" s="37"/>
      <c r="K35" s="37"/>
      <c r="L35" s="53"/>
    </row>
    <row r="36" spans="1:12" ht="15" customHeight="1">
      <c r="A36" s="796" t="str">
        <f>"1. "&amp;pa_jab&amp;" di "&amp;pa_lok&amp;";"</f>
        <v>1. Kepala Badan Pengelolaan Keuangan dan Aset Daerah di Mataram;</v>
      </c>
      <c r="B36" s="37"/>
      <c r="C36" s="38"/>
      <c r="D36" s="38"/>
      <c r="E36" s="37"/>
      <c r="F36" s="37"/>
      <c r="G36" s="37"/>
      <c r="H36" s="37"/>
      <c r="I36" s="37"/>
      <c r="J36" s="37"/>
      <c r="K36" s="37"/>
      <c r="L36" s="53"/>
    </row>
    <row r="37" spans="1:12" ht="15" customHeight="1">
      <c r="A37" s="796" t="str">
        <f>"2. "&amp;Input!$D$157&amp;" di "&amp;pa_lok&amp;";"</f>
        <v>2. Pejabat Pelaksana Teknis Kegiatan di Mataram;</v>
      </c>
      <c r="B37" s="37"/>
      <c r="C37" s="38"/>
      <c r="D37" s="38"/>
      <c r="E37" s="37"/>
      <c r="F37" s="37"/>
      <c r="G37" s="37"/>
      <c r="H37" s="37"/>
      <c r="I37" s="37"/>
      <c r="J37" s="37"/>
      <c r="K37" s="37"/>
      <c r="L37" s="53"/>
    </row>
    <row r="38" spans="1:12" ht="15" customHeight="1">
      <c r="A38" s="37" t="str">
        <f>"3. Konsultan Pengawas "&amp;Input!D$149&amp;";"</f>
        <v>3. Konsultan Pengawas Quod Erat Demonstrandum, FA;</v>
      </c>
      <c r="B38" s="37"/>
      <c r="C38" s="38"/>
      <c r="D38" s="38"/>
      <c r="E38" s="37"/>
      <c r="F38" s="37"/>
      <c r="G38" s="37"/>
      <c r="H38" s="37"/>
      <c r="I38" s="37"/>
      <c r="J38" s="37"/>
      <c r="K38" s="37"/>
      <c r="L38" s="53"/>
    </row>
    <row r="39" spans="1:12" ht="5.25" customHeight="1">
      <c r="A39" s="37"/>
      <c r="B39" s="37"/>
      <c r="C39" s="38"/>
      <c r="D39" s="38"/>
      <c r="E39" s="37"/>
      <c r="F39" s="37"/>
      <c r="G39" s="37"/>
      <c r="H39" s="37"/>
      <c r="I39" s="37"/>
      <c r="J39" s="37"/>
      <c r="K39" s="37"/>
      <c r="L39" s="53"/>
    </row>
    <row r="40" spans="1:12" ht="15" customHeight="1">
      <c r="A40" s="37"/>
      <c r="B40" s="37"/>
      <c r="C40" s="38"/>
      <c r="D40" s="38"/>
      <c r="E40" s="37"/>
      <c r="F40" s="37"/>
      <c r="G40" s="37"/>
      <c r="H40" s="37"/>
      <c r="I40" s="37"/>
      <c r="J40" s="37"/>
      <c r="K40" s="37"/>
    </row>
    <row r="41" spans="1:12" ht="15" customHeight="1">
      <c r="A41" s="37"/>
      <c r="B41" s="37"/>
      <c r="C41" s="38"/>
      <c r="D41" s="38"/>
      <c r="E41" s="37"/>
      <c r="F41" s="37"/>
      <c r="G41" s="37"/>
      <c r="H41" s="39"/>
      <c r="I41" s="39"/>
      <c r="J41" s="37"/>
      <c r="K41" s="37"/>
    </row>
    <row r="42" spans="1:12" ht="15" customHeight="1">
      <c r="A42" s="37"/>
      <c r="B42" s="37"/>
      <c r="C42" s="38"/>
      <c r="D42" s="38"/>
      <c r="E42" s="37"/>
      <c r="F42" s="37"/>
      <c r="G42" s="37"/>
      <c r="H42" s="37"/>
      <c r="I42" s="37"/>
      <c r="J42" s="37"/>
      <c r="K42" s="37"/>
    </row>
  </sheetData>
  <mergeCells count="5">
    <mergeCell ref="D2:K2"/>
    <mergeCell ref="D3:K3"/>
    <mergeCell ref="D4:K4"/>
    <mergeCell ref="A20:K24"/>
    <mergeCell ref="D17:K18"/>
  </mergeCells>
  <hyperlinks>
    <hyperlink ref="L8" location="Input!A72" display="balik ke input" xr:uid="{00000000-0004-0000-1000-000000000000}"/>
  </hyperlinks>
  <printOptions horizontalCentered="1"/>
  <pageMargins left="0.78740157480314998" right="0.55118110236220497" top="0.78740157480314998" bottom="0.78740157480314998" header="0" footer="0"/>
  <pageSetup paperSize="9" orientation="portrait" horizontalDpi="200" verticalDpi="300" r:id="rId1"/>
  <rowBreaks count="1" manualBreakCount="1">
    <brk id="39" max="10" man="1"/>
  </rowBreaks>
  <colBreaks count="1" manualBreakCount="1">
    <brk id="11" max="37"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Q44"/>
  <sheetViews>
    <sheetView view="pageBreakPreview" zoomScale="115" zoomScaleNormal="100" workbookViewId="0">
      <selection activeCell="D25" sqref="D25"/>
    </sheetView>
  </sheetViews>
  <sheetFormatPr defaultColWidth="9" defaultRowHeight="14.25"/>
  <cols>
    <col min="1" max="1" width="3.6640625" style="18" customWidth="1"/>
    <col min="2" max="2" width="5" style="18" customWidth="1"/>
    <col min="3" max="3" width="1.6640625" style="18" customWidth="1"/>
    <col min="4" max="4" width="16" style="18" customWidth="1"/>
    <col min="5" max="5" width="1.86328125" style="18" customWidth="1"/>
    <col min="6" max="6" width="16" style="18" customWidth="1"/>
    <col min="7" max="7" width="1.53125" style="18" customWidth="1"/>
    <col min="8" max="8" width="9.46484375" style="18" customWidth="1"/>
    <col min="9" max="9" width="9.86328125" style="18" customWidth="1"/>
    <col min="10" max="10" width="9.33203125" style="18" customWidth="1"/>
    <col min="11" max="11" width="19.1328125" style="18" customWidth="1"/>
    <col min="12" max="12" width="15" style="18" customWidth="1"/>
    <col min="13" max="258" width="9" style="18"/>
    <col min="259" max="259" width="9.86328125" style="18" customWidth="1"/>
    <col min="260" max="260" width="2" style="18" customWidth="1"/>
    <col min="261" max="261" width="12.53125" style="18" customWidth="1"/>
    <col min="262" max="262" width="1.86328125" style="18" customWidth="1"/>
    <col min="263" max="263" width="2" style="18" customWidth="1"/>
    <col min="264" max="264" width="16" style="18" customWidth="1"/>
    <col min="265" max="265" width="26" style="18" customWidth="1"/>
    <col min="266" max="266" width="9" style="18"/>
    <col min="267" max="267" width="9" style="18" customWidth="1"/>
    <col min="268" max="514" width="9" style="18"/>
    <col min="515" max="515" width="9.86328125" style="18" customWidth="1"/>
    <col min="516" max="516" width="2" style="18" customWidth="1"/>
    <col min="517" max="517" width="12.53125" style="18" customWidth="1"/>
    <col min="518" max="518" width="1.86328125" style="18" customWidth="1"/>
    <col min="519" max="519" width="2" style="18" customWidth="1"/>
    <col min="520" max="520" width="16" style="18" customWidth="1"/>
    <col min="521" max="521" width="26" style="18" customWidth="1"/>
    <col min="522" max="522" width="9" style="18"/>
    <col min="523" max="523" width="9" style="18" customWidth="1"/>
    <col min="524" max="770" width="9" style="18"/>
    <col min="771" max="771" width="9.86328125" style="18" customWidth="1"/>
    <col min="772" max="772" width="2" style="18" customWidth="1"/>
    <col min="773" max="773" width="12.53125" style="18" customWidth="1"/>
    <col min="774" max="774" width="1.86328125" style="18" customWidth="1"/>
    <col min="775" max="775" width="2" style="18" customWidth="1"/>
    <col min="776" max="776" width="16" style="18" customWidth="1"/>
    <col min="777" max="777" width="26" style="18" customWidth="1"/>
    <col min="778" max="778" width="9" style="18"/>
    <col min="779" max="779" width="9" style="18" customWidth="1"/>
    <col min="780" max="1026" width="9" style="18"/>
    <col min="1027" max="1027" width="9.86328125" style="18" customWidth="1"/>
    <col min="1028" max="1028" width="2" style="18" customWidth="1"/>
    <col min="1029" max="1029" width="12.53125" style="18" customWidth="1"/>
    <col min="1030" max="1030" width="1.86328125" style="18" customWidth="1"/>
    <col min="1031" max="1031" width="2" style="18" customWidth="1"/>
    <col min="1032" max="1032" width="16" style="18" customWidth="1"/>
    <col min="1033" max="1033" width="26" style="18" customWidth="1"/>
    <col min="1034" max="1034" width="9" style="18"/>
    <col min="1035" max="1035" width="9" style="18" customWidth="1"/>
    <col min="1036" max="1282" width="9" style="18"/>
    <col min="1283" max="1283" width="9.86328125" style="18" customWidth="1"/>
    <col min="1284" max="1284" width="2" style="18" customWidth="1"/>
    <col min="1285" max="1285" width="12.53125" style="18" customWidth="1"/>
    <col min="1286" max="1286" width="1.86328125" style="18" customWidth="1"/>
    <col min="1287" max="1287" width="2" style="18" customWidth="1"/>
    <col min="1288" max="1288" width="16" style="18" customWidth="1"/>
    <col min="1289" max="1289" width="26" style="18" customWidth="1"/>
    <col min="1290" max="1290" width="9" style="18"/>
    <col min="1291" max="1291" width="9" style="18" customWidth="1"/>
    <col min="1292" max="1538" width="9" style="18"/>
    <col min="1539" max="1539" width="9.86328125" style="18" customWidth="1"/>
    <col min="1540" max="1540" width="2" style="18" customWidth="1"/>
    <col min="1541" max="1541" width="12.53125" style="18" customWidth="1"/>
    <col min="1542" max="1542" width="1.86328125" style="18" customWidth="1"/>
    <col min="1543" max="1543" width="2" style="18" customWidth="1"/>
    <col min="1544" max="1544" width="16" style="18" customWidth="1"/>
    <col min="1545" max="1545" width="26" style="18" customWidth="1"/>
    <col min="1546" max="1546" width="9" style="18"/>
    <col min="1547" max="1547" width="9" style="18" customWidth="1"/>
    <col min="1548" max="1794" width="9" style="18"/>
    <col min="1795" max="1795" width="9.86328125" style="18" customWidth="1"/>
    <col min="1796" max="1796" width="2" style="18" customWidth="1"/>
    <col min="1797" max="1797" width="12.53125" style="18" customWidth="1"/>
    <col min="1798" max="1798" width="1.86328125" style="18" customWidth="1"/>
    <col min="1799" max="1799" width="2" style="18" customWidth="1"/>
    <col min="1800" max="1800" width="16" style="18" customWidth="1"/>
    <col min="1801" max="1801" width="26" style="18" customWidth="1"/>
    <col min="1802" max="1802" width="9" style="18"/>
    <col min="1803" max="1803" width="9" style="18" customWidth="1"/>
    <col min="1804" max="2050" width="9" style="18"/>
    <col min="2051" max="2051" width="9.86328125" style="18" customWidth="1"/>
    <col min="2052" max="2052" width="2" style="18" customWidth="1"/>
    <col min="2053" max="2053" width="12.53125" style="18" customWidth="1"/>
    <col min="2054" max="2054" width="1.86328125" style="18" customWidth="1"/>
    <col min="2055" max="2055" width="2" style="18" customWidth="1"/>
    <col min="2056" max="2056" width="16" style="18" customWidth="1"/>
    <col min="2057" max="2057" width="26" style="18" customWidth="1"/>
    <col min="2058" max="2058" width="9" style="18"/>
    <col min="2059" max="2059" width="9" style="18" customWidth="1"/>
    <col min="2060" max="2306" width="9" style="18"/>
    <col min="2307" max="2307" width="9.86328125" style="18" customWidth="1"/>
    <col min="2308" max="2308" width="2" style="18" customWidth="1"/>
    <col min="2309" max="2309" width="12.53125" style="18" customWidth="1"/>
    <col min="2310" max="2310" width="1.86328125" style="18" customWidth="1"/>
    <col min="2311" max="2311" width="2" style="18" customWidth="1"/>
    <col min="2312" max="2312" width="16" style="18" customWidth="1"/>
    <col min="2313" max="2313" width="26" style="18" customWidth="1"/>
    <col min="2314" max="2314" width="9" style="18"/>
    <col min="2315" max="2315" width="9" style="18" customWidth="1"/>
    <col min="2316" max="2562" width="9" style="18"/>
    <col min="2563" max="2563" width="9.86328125" style="18" customWidth="1"/>
    <col min="2564" max="2564" width="2" style="18" customWidth="1"/>
    <col min="2565" max="2565" width="12.53125" style="18" customWidth="1"/>
    <col min="2566" max="2566" width="1.86328125" style="18" customWidth="1"/>
    <col min="2567" max="2567" width="2" style="18" customWidth="1"/>
    <col min="2568" max="2568" width="16" style="18" customWidth="1"/>
    <col min="2569" max="2569" width="26" style="18" customWidth="1"/>
    <col min="2570" max="2570" width="9" style="18"/>
    <col min="2571" max="2571" width="9" style="18" customWidth="1"/>
    <col min="2572" max="2818" width="9" style="18"/>
    <col min="2819" max="2819" width="9.86328125" style="18" customWidth="1"/>
    <col min="2820" max="2820" width="2" style="18" customWidth="1"/>
    <col min="2821" max="2821" width="12.53125" style="18" customWidth="1"/>
    <col min="2822" max="2822" width="1.86328125" style="18" customWidth="1"/>
    <col min="2823" max="2823" width="2" style="18" customWidth="1"/>
    <col min="2824" max="2824" width="16" style="18" customWidth="1"/>
    <col min="2825" max="2825" width="26" style="18" customWidth="1"/>
    <col min="2826" max="2826" width="9" style="18"/>
    <col min="2827" max="2827" width="9" style="18" customWidth="1"/>
    <col min="2828" max="3074" width="9" style="18"/>
    <col min="3075" max="3075" width="9.86328125" style="18" customWidth="1"/>
    <col min="3076" max="3076" width="2" style="18" customWidth="1"/>
    <col min="3077" max="3077" width="12.53125" style="18" customWidth="1"/>
    <col min="3078" max="3078" width="1.86328125" style="18" customWidth="1"/>
    <col min="3079" max="3079" width="2" style="18" customWidth="1"/>
    <col min="3080" max="3080" width="16" style="18" customWidth="1"/>
    <col min="3081" max="3081" width="26" style="18" customWidth="1"/>
    <col min="3082" max="3082" width="9" style="18"/>
    <col min="3083" max="3083" width="9" style="18" customWidth="1"/>
    <col min="3084" max="3330" width="9" style="18"/>
    <col min="3331" max="3331" width="9.86328125" style="18" customWidth="1"/>
    <col min="3332" max="3332" width="2" style="18" customWidth="1"/>
    <col min="3333" max="3333" width="12.53125" style="18" customWidth="1"/>
    <col min="3334" max="3334" width="1.86328125" style="18" customWidth="1"/>
    <col min="3335" max="3335" width="2" style="18" customWidth="1"/>
    <col min="3336" max="3336" width="16" style="18" customWidth="1"/>
    <col min="3337" max="3337" width="26" style="18" customWidth="1"/>
    <col min="3338" max="3338" width="9" style="18"/>
    <col min="3339" max="3339" width="9" style="18" customWidth="1"/>
    <col min="3340" max="3586" width="9" style="18"/>
    <col min="3587" max="3587" width="9.86328125" style="18" customWidth="1"/>
    <col min="3588" max="3588" width="2" style="18" customWidth="1"/>
    <col min="3589" max="3589" width="12.53125" style="18" customWidth="1"/>
    <col min="3590" max="3590" width="1.86328125" style="18" customWidth="1"/>
    <col min="3591" max="3591" width="2" style="18" customWidth="1"/>
    <col min="3592" max="3592" width="16" style="18" customWidth="1"/>
    <col min="3593" max="3593" width="26" style="18" customWidth="1"/>
    <col min="3594" max="3594" width="9" style="18"/>
    <col min="3595" max="3595" width="9" style="18" customWidth="1"/>
    <col min="3596" max="3842" width="9" style="18"/>
    <col min="3843" max="3843" width="9.86328125" style="18" customWidth="1"/>
    <col min="3844" max="3844" width="2" style="18" customWidth="1"/>
    <col min="3845" max="3845" width="12.53125" style="18" customWidth="1"/>
    <col min="3846" max="3846" width="1.86328125" style="18" customWidth="1"/>
    <col min="3847" max="3847" width="2" style="18" customWidth="1"/>
    <col min="3848" max="3848" width="16" style="18" customWidth="1"/>
    <col min="3849" max="3849" width="26" style="18" customWidth="1"/>
    <col min="3850" max="3850" width="9" style="18"/>
    <col min="3851" max="3851" width="9" style="18" customWidth="1"/>
    <col min="3852" max="4098" width="9" style="18"/>
    <col min="4099" max="4099" width="9.86328125" style="18" customWidth="1"/>
    <col min="4100" max="4100" width="2" style="18" customWidth="1"/>
    <col min="4101" max="4101" width="12.53125" style="18" customWidth="1"/>
    <col min="4102" max="4102" width="1.86328125" style="18" customWidth="1"/>
    <col min="4103" max="4103" width="2" style="18" customWidth="1"/>
    <col min="4104" max="4104" width="16" style="18" customWidth="1"/>
    <col min="4105" max="4105" width="26" style="18" customWidth="1"/>
    <col min="4106" max="4106" width="9" style="18"/>
    <col min="4107" max="4107" width="9" style="18" customWidth="1"/>
    <col min="4108" max="4354" width="9" style="18"/>
    <col min="4355" max="4355" width="9.86328125" style="18" customWidth="1"/>
    <col min="4356" max="4356" width="2" style="18" customWidth="1"/>
    <col min="4357" max="4357" width="12.53125" style="18" customWidth="1"/>
    <col min="4358" max="4358" width="1.86328125" style="18" customWidth="1"/>
    <col min="4359" max="4359" width="2" style="18" customWidth="1"/>
    <col min="4360" max="4360" width="16" style="18" customWidth="1"/>
    <col min="4361" max="4361" width="26" style="18" customWidth="1"/>
    <col min="4362" max="4362" width="9" style="18"/>
    <col min="4363" max="4363" width="9" style="18" customWidth="1"/>
    <col min="4364" max="4610" width="9" style="18"/>
    <col min="4611" max="4611" width="9.86328125" style="18" customWidth="1"/>
    <col min="4612" max="4612" width="2" style="18" customWidth="1"/>
    <col min="4613" max="4613" width="12.53125" style="18" customWidth="1"/>
    <col min="4614" max="4614" width="1.86328125" style="18" customWidth="1"/>
    <col min="4615" max="4615" width="2" style="18" customWidth="1"/>
    <col min="4616" max="4616" width="16" style="18" customWidth="1"/>
    <col min="4617" max="4617" width="26" style="18" customWidth="1"/>
    <col min="4618" max="4618" width="9" style="18"/>
    <col min="4619" max="4619" width="9" style="18" customWidth="1"/>
    <col min="4620" max="4866" width="9" style="18"/>
    <col min="4867" max="4867" width="9.86328125" style="18" customWidth="1"/>
    <col min="4868" max="4868" width="2" style="18" customWidth="1"/>
    <col min="4869" max="4869" width="12.53125" style="18" customWidth="1"/>
    <col min="4870" max="4870" width="1.86328125" style="18" customWidth="1"/>
    <col min="4871" max="4871" width="2" style="18" customWidth="1"/>
    <col min="4872" max="4872" width="16" style="18" customWidth="1"/>
    <col min="4873" max="4873" width="26" style="18" customWidth="1"/>
    <col min="4874" max="4874" width="9" style="18"/>
    <col min="4875" max="4875" width="9" style="18" customWidth="1"/>
    <col min="4876" max="5122" width="9" style="18"/>
    <col min="5123" max="5123" width="9.86328125" style="18" customWidth="1"/>
    <col min="5124" max="5124" width="2" style="18" customWidth="1"/>
    <col min="5125" max="5125" width="12.53125" style="18" customWidth="1"/>
    <col min="5126" max="5126" width="1.86328125" style="18" customWidth="1"/>
    <col min="5127" max="5127" width="2" style="18" customWidth="1"/>
    <col min="5128" max="5128" width="16" style="18" customWidth="1"/>
    <col min="5129" max="5129" width="26" style="18" customWidth="1"/>
    <col min="5130" max="5130" width="9" style="18"/>
    <col min="5131" max="5131" width="9" style="18" customWidth="1"/>
    <col min="5132" max="5378" width="9" style="18"/>
    <col min="5379" max="5379" width="9.86328125" style="18" customWidth="1"/>
    <col min="5380" max="5380" width="2" style="18" customWidth="1"/>
    <col min="5381" max="5381" width="12.53125" style="18" customWidth="1"/>
    <col min="5382" max="5382" width="1.86328125" style="18" customWidth="1"/>
    <col min="5383" max="5383" width="2" style="18" customWidth="1"/>
    <col min="5384" max="5384" width="16" style="18" customWidth="1"/>
    <col min="5385" max="5385" width="26" style="18" customWidth="1"/>
    <col min="5386" max="5386" width="9" style="18"/>
    <col min="5387" max="5387" width="9" style="18" customWidth="1"/>
    <col min="5388" max="5634" width="9" style="18"/>
    <col min="5635" max="5635" width="9.86328125" style="18" customWidth="1"/>
    <col min="5636" max="5636" width="2" style="18" customWidth="1"/>
    <col min="5637" max="5637" width="12.53125" style="18" customWidth="1"/>
    <col min="5638" max="5638" width="1.86328125" style="18" customWidth="1"/>
    <col min="5639" max="5639" width="2" style="18" customWidth="1"/>
    <col min="5640" max="5640" width="16" style="18" customWidth="1"/>
    <col min="5641" max="5641" width="26" style="18" customWidth="1"/>
    <col min="5642" max="5642" width="9" style="18"/>
    <col min="5643" max="5643" width="9" style="18" customWidth="1"/>
    <col min="5644" max="5890" width="9" style="18"/>
    <col min="5891" max="5891" width="9.86328125" style="18" customWidth="1"/>
    <col min="5892" max="5892" width="2" style="18" customWidth="1"/>
    <col min="5893" max="5893" width="12.53125" style="18" customWidth="1"/>
    <col min="5894" max="5894" width="1.86328125" style="18" customWidth="1"/>
    <col min="5895" max="5895" width="2" style="18" customWidth="1"/>
    <col min="5896" max="5896" width="16" style="18" customWidth="1"/>
    <col min="5897" max="5897" width="26" style="18" customWidth="1"/>
    <col min="5898" max="5898" width="9" style="18"/>
    <col min="5899" max="5899" width="9" style="18" customWidth="1"/>
    <col min="5900" max="6146" width="9" style="18"/>
    <col min="6147" max="6147" width="9.86328125" style="18" customWidth="1"/>
    <col min="6148" max="6148" width="2" style="18" customWidth="1"/>
    <col min="6149" max="6149" width="12.53125" style="18" customWidth="1"/>
    <col min="6150" max="6150" width="1.86328125" style="18" customWidth="1"/>
    <col min="6151" max="6151" width="2" style="18" customWidth="1"/>
    <col min="6152" max="6152" width="16" style="18" customWidth="1"/>
    <col min="6153" max="6153" width="26" style="18" customWidth="1"/>
    <col min="6154" max="6154" width="9" style="18"/>
    <col min="6155" max="6155" width="9" style="18" customWidth="1"/>
    <col min="6156" max="6402" width="9" style="18"/>
    <col min="6403" max="6403" width="9.86328125" style="18" customWidth="1"/>
    <col min="6404" max="6404" width="2" style="18" customWidth="1"/>
    <col min="6405" max="6405" width="12.53125" style="18" customWidth="1"/>
    <col min="6406" max="6406" width="1.86328125" style="18" customWidth="1"/>
    <col min="6407" max="6407" width="2" style="18" customWidth="1"/>
    <col min="6408" max="6408" width="16" style="18" customWidth="1"/>
    <col min="6409" max="6409" width="26" style="18" customWidth="1"/>
    <col min="6410" max="6410" width="9" style="18"/>
    <col min="6411" max="6411" width="9" style="18" customWidth="1"/>
    <col min="6412" max="6658" width="9" style="18"/>
    <col min="6659" max="6659" width="9.86328125" style="18" customWidth="1"/>
    <col min="6660" max="6660" width="2" style="18" customWidth="1"/>
    <col min="6661" max="6661" width="12.53125" style="18" customWidth="1"/>
    <col min="6662" max="6662" width="1.86328125" style="18" customWidth="1"/>
    <col min="6663" max="6663" width="2" style="18" customWidth="1"/>
    <col min="6664" max="6664" width="16" style="18" customWidth="1"/>
    <col min="6665" max="6665" width="26" style="18" customWidth="1"/>
    <col min="6666" max="6666" width="9" style="18"/>
    <col min="6667" max="6667" width="9" style="18" customWidth="1"/>
    <col min="6668" max="6914" width="9" style="18"/>
    <col min="6915" max="6915" width="9.86328125" style="18" customWidth="1"/>
    <col min="6916" max="6916" width="2" style="18" customWidth="1"/>
    <col min="6917" max="6917" width="12.53125" style="18" customWidth="1"/>
    <col min="6918" max="6918" width="1.86328125" style="18" customWidth="1"/>
    <col min="6919" max="6919" width="2" style="18" customWidth="1"/>
    <col min="6920" max="6920" width="16" style="18" customWidth="1"/>
    <col min="6921" max="6921" width="26" style="18" customWidth="1"/>
    <col min="6922" max="6922" width="9" style="18"/>
    <col min="6923" max="6923" width="9" style="18" customWidth="1"/>
    <col min="6924" max="7170" width="9" style="18"/>
    <col min="7171" max="7171" width="9.86328125" style="18" customWidth="1"/>
    <col min="7172" max="7172" width="2" style="18" customWidth="1"/>
    <col min="7173" max="7173" width="12.53125" style="18" customWidth="1"/>
    <col min="7174" max="7174" width="1.86328125" style="18" customWidth="1"/>
    <col min="7175" max="7175" width="2" style="18" customWidth="1"/>
    <col min="7176" max="7176" width="16" style="18" customWidth="1"/>
    <col min="7177" max="7177" width="26" style="18" customWidth="1"/>
    <col min="7178" max="7178" width="9" style="18"/>
    <col min="7179" max="7179" width="9" style="18" customWidth="1"/>
    <col min="7180" max="7426" width="9" style="18"/>
    <col min="7427" max="7427" width="9.86328125" style="18" customWidth="1"/>
    <col min="7428" max="7428" width="2" style="18" customWidth="1"/>
    <col min="7429" max="7429" width="12.53125" style="18" customWidth="1"/>
    <col min="7430" max="7430" width="1.86328125" style="18" customWidth="1"/>
    <col min="7431" max="7431" width="2" style="18" customWidth="1"/>
    <col min="7432" max="7432" width="16" style="18" customWidth="1"/>
    <col min="7433" max="7433" width="26" style="18" customWidth="1"/>
    <col min="7434" max="7434" width="9" style="18"/>
    <col min="7435" max="7435" width="9" style="18" customWidth="1"/>
    <col min="7436" max="7682" width="9" style="18"/>
    <col min="7683" max="7683" width="9.86328125" style="18" customWidth="1"/>
    <col min="7684" max="7684" width="2" style="18" customWidth="1"/>
    <col min="7685" max="7685" width="12.53125" style="18" customWidth="1"/>
    <col min="7686" max="7686" width="1.86328125" style="18" customWidth="1"/>
    <col min="7687" max="7687" width="2" style="18" customWidth="1"/>
    <col min="7688" max="7688" width="16" style="18" customWidth="1"/>
    <col min="7689" max="7689" width="26" style="18" customWidth="1"/>
    <col min="7690" max="7690" width="9" style="18"/>
    <col min="7691" max="7691" width="9" style="18" customWidth="1"/>
    <col min="7692" max="7938" width="9" style="18"/>
    <col min="7939" max="7939" width="9.86328125" style="18" customWidth="1"/>
    <col min="7940" max="7940" width="2" style="18" customWidth="1"/>
    <col min="7941" max="7941" width="12.53125" style="18" customWidth="1"/>
    <col min="7942" max="7942" width="1.86328125" style="18" customWidth="1"/>
    <col min="7943" max="7943" width="2" style="18" customWidth="1"/>
    <col min="7944" max="7944" width="16" style="18" customWidth="1"/>
    <col min="7945" max="7945" width="26" style="18" customWidth="1"/>
    <col min="7946" max="7946" width="9" style="18"/>
    <col min="7947" max="7947" width="9" style="18" customWidth="1"/>
    <col min="7948" max="8194" width="9" style="18"/>
    <col min="8195" max="8195" width="9.86328125" style="18" customWidth="1"/>
    <col min="8196" max="8196" width="2" style="18" customWidth="1"/>
    <col min="8197" max="8197" width="12.53125" style="18" customWidth="1"/>
    <col min="8198" max="8198" width="1.86328125" style="18" customWidth="1"/>
    <col min="8199" max="8199" width="2" style="18" customWidth="1"/>
    <col min="8200" max="8200" width="16" style="18" customWidth="1"/>
    <col min="8201" max="8201" width="26" style="18" customWidth="1"/>
    <col min="8202" max="8202" width="9" style="18"/>
    <col min="8203" max="8203" width="9" style="18" customWidth="1"/>
    <col min="8204" max="8450" width="9" style="18"/>
    <col min="8451" max="8451" width="9.86328125" style="18" customWidth="1"/>
    <col min="8452" max="8452" width="2" style="18" customWidth="1"/>
    <col min="8453" max="8453" width="12.53125" style="18" customWidth="1"/>
    <col min="8454" max="8454" width="1.86328125" style="18" customWidth="1"/>
    <col min="8455" max="8455" width="2" style="18" customWidth="1"/>
    <col min="8456" max="8456" width="16" style="18" customWidth="1"/>
    <col min="8457" max="8457" width="26" style="18" customWidth="1"/>
    <col min="8458" max="8458" width="9" style="18"/>
    <col min="8459" max="8459" width="9" style="18" customWidth="1"/>
    <col min="8460" max="8706" width="9" style="18"/>
    <col min="8707" max="8707" width="9.86328125" style="18" customWidth="1"/>
    <col min="8708" max="8708" width="2" style="18" customWidth="1"/>
    <col min="8709" max="8709" width="12.53125" style="18" customWidth="1"/>
    <col min="8710" max="8710" width="1.86328125" style="18" customWidth="1"/>
    <col min="8711" max="8711" width="2" style="18" customWidth="1"/>
    <col min="8712" max="8712" width="16" style="18" customWidth="1"/>
    <col min="8713" max="8713" width="26" style="18" customWidth="1"/>
    <col min="8714" max="8714" width="9" style="18"/>
    <col min="8715" max="8715" width="9" style="18" customWidth="1"/>
    <col min="8716" max="8962" width="9" style="18"/>
    <col min="8963" max="8963" width="9.86328125" style="18" customWidth="1"/>
    <col min="8964" max="8964" width="2" style="18" customWidth="1"/>
    <col min="8965" max="8965" width="12.53125" style="18" customWidth="1"/>
    <col min="8966" max="8966" width="1.86328125" style="18" customWidth="1"/>
    <col min="8967" max="8967" width="2" style="18" customWidth="1"/>
    <col min="8968" max="8968" width="16" style="18" customWidth="1"/>
    <col min="8969" max="8969" width="26" style="18" customWidth="1"/>
    <col min="8970" max="8970" width="9" style="18"/>
    <col min="8971" max="8971" width="9" style="18" customWidth="1"/>
    <col min="8972" max="9218" width="9" style="18"/>
    <col min="9219" max="9219" width="9.86328125" style="18" customWidth="1"/>
    <col min="9220" max="9220" width="2" style="18" customWidth="1"/>
    <col min="9221" max="9221" width="12.53125" style="18" customWidth="1"/>
    <col min="9222" max="9222" width="1.86328125" style="18" customWidth="1"/>
    <col min="9223" max="9223" width="2" style="18" customWidth="1"/>
    <col min="9224" max="9224" width="16" style="18" customWidth="1"/>
    <col min="9225" max="9225" width="26" style="18" customWidth="1"/>
    <col min="9226" max="9226" width="9" style="18"/>
    <col min="9227" max="9227" width="9" style="18" customWidth="1"/>
    <col min="9228" max="9474" width="9" style="18"/>
    <col min="9475" max="9475" width="9.86328125" style="18" customWidth="1"/>
    <col min="9476" max="9476" width="2" style="18" customWidth="1"/>
    <col min="9477" max="9477" width="12.53125" style="18" customWidth="1"/>
    <col min="9478" max="9478" width="1.86328125" style="18" customWidth="1"/>
    <col min="9479" max="9479" width="2" style="18" customWidth="1"/>
    <col min="9480" max="9480" width="16" style="18" customWidth="1"/>
    <col min="9481" max="9481" width="26" style="18" customWidth="1"/>
    <col min="9482" max="9482" width="9" style="18"/>
    <col min="9483" max="9483" width="9" style="18" customWidth="1"/>
    <col min="9484" max="9730" width="9" style="18"/>
    <col min="9731" max="9731" width="9.86328125" style="18" customWidth="1"/>
    <col min="9732" max="9732" width="2" style="18" customWidth="1"/>
    <col min="9733" max="9733" width="12.53125" style="18" customWidth="1"/>
    <col min="9734" max="9734" width="1.86328125" style="18" customWidth="1"/>
    <col min="9735" max="9735" width="2" style="18" customWidth="1"/>
    <col min="9736" max="9736" width="16" style="18" customWidth="1"/>
    <col min="9737" max="9737" width="26" style="18" customWidth="1"/>
    <col min="9738" max="9738" width="9" style="18"/>
    <col min="9739" max="9739" width="9" style="18" customWidth="1"/>
    <col min="9740" max="9986" width="9" style="18"/>
    <col min="9987" max="9987" width="9.86328125" style="18" customWidth="1"/>
    <col min="9988" max="9988" width="2" style="18" customWidth="1"/>
    <col min="9989" max="9989" width="12.53125" style="18" customWidth="1"/>
    <col min="9990" max="9990" width="1.86328125" style="18" customWidth="1"/>
    <col min="9991" max="9991" width="2" style="18" customWidth="1"/>
    <col min="9992" max="9992" width="16" style="18" customWidth="1"/>
    <col min="9993" max="9993" width="26" style="18" customWidth="1"/>
    <col min="9994" max="9994" width="9" style="18"/>
    <col min="9995" max="9995" width="9" style="18" customWidth="1"/>
    <col min="9996" max="10242" width="9" style="18"/>
    <col min="10243" max="10243" width="9.86328125" style="18" customWidth="1"/>
    <col min="10244" max="10244" width="2" style="18" customWidth="1"/>
    <col min="10245" max="10245" width="12.53125" style="18" customWidth="1"/>
    <col min="10246" max="10246" width="1.86328125" style="18" customWidth="1"/>
    <col min="10247" max="10247" width="2" style="18" customWidth="1"/>
    <col min="10248" max="10248" width="16" style="18" customWidth="1"/>
    <col min="10249" max="10249" width="26" style="18" customWidth="1"/>
    <col min="10250" max="10250" width="9" style="18"/>
    <col min="10251" max="10251" width="9" style="18" customWidth="1"/>
    <col min="10252" max="10498" width="9" style="18"/>
    <col min="10499" max="10499" width="9.86328125" style="18" customWidth="1"/>
    <col min="10500" max="10500" width="2" style="18" customWidth="1"/>
    <col min="10501" max="10501" width="12.53125" style="18" customWidth="1"/>
    <col min="10502" max="10502" width="1.86328125" style="18" customWidth="1"/>
    <col min="10503" max="10503" width="2" style="18" customWidth="1"/>
    <col min="10504" max="10504" width="16" style="18" customWidth="1"/>
    <col min="10505" max="10505" width="26" style="18" customWidth="1"/>
    <col min="10506" max="10506" width="9" style="18"/>
    <col min="10507" max="10507" width="9" style="18" customWidth="1"/>
    <col min="10508" max="10754" width="9" style="18"/>
    <col min="10755" max="10755" width="9.86328125" style="18" customWidth="1"/>
    <col min="10756" max="10756" width="2" style="18" customWidth="1"/>
    <col min="10757" max="10757" width="12.53125" style="18" customWidth="1"/>
    <col min="10758" max="10758" width="1.86328125" style="18" customWidth="1"/>
    <col min="10759" max="10759" width="2" style="18" customWidth="1"/>
    <col min="10760" max="10760" width="16" style="18" customWidth="1"/>
    <col min="10761" max="10761" width="26" style="18" customWidth="1"/>
    <col min="10762" max="10762" width="9" style="18"/>
    <col min="10763" max="10763" width="9" style="18" customWidth="1"/>
    <col min="10764" max="11010" width="9" style="18"/>
    <col min="11011" max="11011" width="9.86328125" style="18" customWidth="1"/>
    <col min="11012" max="11012" width="2" style="18" customWidth="1"/>
    <col min="11013" max="11013" width="12.53125" style="18" customWidth="1"/>
    <col min="11014" max="11014" width="1.86328125" style="18" customWidth="1"/>
    <col min="11015" max="11015" width="2" style="18" customWidth="1"/>
    <col min="11016" max="11016" width="16" style="18" customWidth="1"/>
    <col min="11017" max="11017" width="26" style="18" customWidth="1"/>
    <col min="11018" max="11018" width="9" style="18"/>
    <col min="11019" max="11019" width="9" style="18" customWidth="1"/>
    <col min="11020" max="11266" width="9" style="18"/>
    <col min="11267" max="11267" width="9.86328125" style="18" customWidth="1"/>
    <col min="11268" max="11268" width="2" style="18" customWidth="1"/>
    <col min="11269" max="11269" width="12.53125" style="18" customWidth="1"/>
    <col min="11270" max="11270" width="1.86328125" style="18" customWidth="1"/>
    <col min="11271" max="11271" width="2" style="18" customWidth="1"/>
    <col min="11272" max="11272" width="16" style="18" customWidth="1"/>
    <col min="11273" max="11273" width="26" style="18" customWidth="1"/>
    <col min="11274" max="11274" width="9" style="18"/>
    <col min="11275" max="11275" width="9" style="18" customWidth="1"/>
    <col min="11276" max="11522" width="9" style="18"/>
    <col min="11523" max="11523" width="9.86328125" style="18" customWidth="1"/>
    <col min="11524" max="11524" width="2" style="18" customWidth="1"/>
    <col min="11525" max="11525" width="12.53125" style="18" customWidth="1"/>
    <col min="11526" max="11526" width="1.86328125" style="18" customWidth="1"/>
    <col min="11527" max="11527" width="2" style="18" customWidth="1"/>
    <col min="11528" max="11528" width="16" style="18" customWidth="1"/>
    <col min="11529" max="11529" width="26" style="18" customWidth="1"/>
    <col min="11530" max="11530" width="9" style="18"/>
    <col min="11531" max="11531" width="9" style="18" customWidth="1"/>
    <col min="11532" max="11778" width="9" style="18"/>
    <col min="11779" max="11779" width="9.86328125" style="18" customWidth="1"/>
    <col min="11780" max="11780" width="2" style="18" customWidth="1"/>
    <col min="11781" max="11781" width="12.53125" style="18" customWidth="1"/>
    <col min="11782" max="11782" width="1.86328125" style="18" customWidth="1"/>
    <col min="11783" max="11783" width="2" style="18" customWidth="1"/>
    <col min="11784" max="11784" width="16" style="18" customWidth="1"/>
    <col min="11785" max="11785" width="26" style="18" customWidth="1"/>
    <col min="11786" max="11786" width="9" style="18"/>
    <col min="11787" max="11787" width="9" style="18" customWidth="1"/>
    <col min="11788" max="12034" width="9" style="18"/>
    <col min="12035" max="12035" width="9.86328125" style="18" customWidth="1"/>
    <col min="12036" max="12036" width="2" style="18" customWidth="1"/>
    <col min="12037" max="12037" width="12.53125" style="18" customWidth="1"/>
    <col min="12038" max="12038" width="1.86328125" style="18" customWidth="1"/>
    <col min="12039" max="12039" width="2" style="18" customWidth="1"/>
    <col min="12040" max="12040" width="16" style="18" customWidth="1"/>
    <col min="12041" max="12041" width="26" style="18" customWidth="1"/>
    <col min="12042" max="12042" width="9" style="18"/>
    <col min="12043" max="12043" width="9" style="18" customWidth="1"/>
    <col min="12044" max="12290" width="9" style="18"/>
    <col min="12291" max="12291" width="9.86328125" style="18" customWidth="1"/>
    <col min="12292" max="12292" width="2" style="18" customWidth="1"/>
    <col min="12293" max="12293" width="12.53125" style="18" customWidth="1"/>
    <col min="12294" max="12294" width="1.86328125" style="18" customWidth="1"/>
    <col min="12295" max="12295" width="2" style="18" customWidth="1"/>
    <col min="12296" max="12296" width="16" style="18" customWidth="1"/>
    <col min="12297" max="12297" width="26" style="18" customWidth="1"/>
    <col min="12298" max="12298" width="9" style="18"/>
    <col min="12299" max="12299" width="9" style="18" customWidth="1"/>
    <col min="12300" max="12546" width="9" style="18"/>
    <col min="12547" max="12547" width="9.86328125" style="18" customWidth="1"/>
    <col min="12548" max="12548" width="2" style="18" customWidth="1"/>
    <col min="12549" max="12549" width="12.53125" style="18" customWidth="1"/>
    <col min="12550" max="12550" width="1.86328125" style="18" customWidth="1"/>
    <col min="12551" max="12551" width="2" style="18" customWidth="1"/>
    <col min="12552" max="12552" width="16" style="18" customWidth="1"/>
    <col min="12553" max="12553" width="26" style="18" customWidth="1"/>
    <col min="12554" max="12554" width="9" style="18"/>
    <col min="12555" max="12555" width="9" style="18" customWidth="1"/>
    <col min="12556" max="12802" width="9" style="18"/>
    <col min="12803" max="12803" width="9.86328125" style="18" customWidth="1"/>
    <col min="12804" max="12804" width="2" style="18" customWidth="1"/>
    <col min="12805" max="12805" width="12.53125" style="18" customWidth="1"/>
    <col min="12806" max="12806" width="1.86328125" style="18" customWidth="1"/>
    <col min="12807" max="12807" width="2" style="18" customWidth="1"/>
    <col min="12808" max="12808" width="16" style="18" customWidth="1"/>
    <col min="12809" max="12809" width="26" style="18" customWidth="1"/>
    <col min="12810" max="12810" width="9" style="18"/>
    <col min="12811" max="12811" width="9" style="18" customWidth="1"/>
    <col min="12812" max="13058" width="9" style="18"/>
    <col min="13059" max="13059" width="9.86328125" style="18" customWidth="1"/>
    <col min="13060" max="13060" width="2" style="18" customWidth="1"/>
    <col min="13061" max="13061" width="12.53125" style="18" customWidth="1"/>
    <col min="13062" max="13062" width="1.86328125" style="18" customWidth="1"/>
    <col min="13063" max="13063" width="2" style="18" customWidth="1"/>
    <col min="13064" max="13064" width="16" style="18" customWidth="1"/>
    <col min="13065" max="13065" width="26" style="18" customWidth="1"/>
    <col min="13066" max="13066" width="9" style="18"/>
    <col min="13067" max="13067" width="9" style="18" customWidth="1"/>
    <col min="13068" max="13314" width="9" style="18"/>
    <col min="13315" max="13315" width="9.86328125" style="18" customWidth="1"/>
    <col min="13316" max="13316" width="2" style="18" customWidth="1"/>
    <col min="13317" max="13317" width="12.53125" style="18" customWidth="1"/>
    <col min="13318" max="13318" width="1.86328125" style="18" customWidth="1"/>
    <col min="13319" max="13319" width="2" style="18" customWidth="1"/>
    <col min="13320" max="13320" width="16" style="18" customWidth="1"/>
    <col min="13321" max="13321" width="26" style="18" customWidth="1"/>
    <col min="13322" max="13322" width="9" style="18"/>
    <col min="13323" max="13323" width="9" style="18" customWidth="1"/>
    <col min="13324" max="13570" width="9" style="18"/>
    <col min="13571" max="13571" width="9.86328125" style="18" customWidth="1"/>
    <col min="13572" max="13572" width="2" style="18" customWidth="1"/>
    <col min="13573" max="13573" width="12.53125" style="18" customWidth="1"/>
    <col min="13574" max="13574" width="1.86328125" style="18" customWidth="1"/>
    <col min="13575" max="13575" width="2" style="18" customWidth="1"/>
    <col min="13576" max="13576" width="16" style="18" customWidth="1"/>
    <col min="13577" max="13577" width="26" style="18" customWidth="1"/>
    <col min="13578" max="13578" width="9" style="18"/>
    <col min="13579" max="13579" width="9" style="18" customWidth="1"/>
    <col min="13580" max="13826" width="9" style="18"/>
    <col min="13827" max="13827" width="9.86328125" style="18" customWidth="1"/>
    <col min="13828" max="13828" width="2" style="18" customWidth="1"/>
    <col min="13829" max="13829" width="12.53125" style="18" customWidth="1"/>
    <col min="13830" max="13830" width="1.86328125" style="18" customWidth="1"/>
    <col min="13831" max="13831" width="2" style="18" customWidth="1"/>
    <col min="13832" max="13832" width="16" style="18" customWidth="1"/>
    <col min="13833" max="13833" width="26" style="18" customWidth="1"/>
    <col min="13834" max="13834" width="9" style="18"/>
    <col min="13835" max="13835" width="9" style="18" customWidth="1"/>
    <col min="13836" max="14082" width="9" style="18"/>
    <col min="14083" max="14083" width="9.86328125" style="18" customWidth="1"/>
    <col min="14084" max="14084" width="2" style="18" customWidth="1"/>
    <col min="14085" max="14085" width="12.53125" style="18" customWidth="1"/>
    <col min="14086" max="14086" width="1.86328125" style="18" customWidth="1"/>
    <col min="14087" max="14087" width="2" style="18" customWidth="1"/>
    <col min="14088" max="14088" width="16" style="18" customWidth="1"/>
    <col min="14089" max="14089" width="26" style="18" customWidth="1"/>
    <col min="14090" max="14090" width="9" style="18"/>
    <col min="14091" max="14091" width="9" style="18" customWidth="1"/>
    <col min="14092" max="14338" width="9" style="18"/>
    <col min="14339" max="14339" width="9.86328125" style="18" customWidth="1"/>
    <col min="14340" max="14340" width="2" style="18" customWidth="1"/>
    <col min="14341" max="14341" width="12.53125" style="18" customWidth="1"/>
    <col min="14342" max="14342" width="1.86328125" style="18" customWidth="1"/>
    <col min="14343" max="14343" width="2" style="18" customWidth="1"/>
    <col min="14344" max="14344" width="16" style="18" customWidth="1"/>
    <col min="14345" max="14345" width="26" style="18" customWidth="1"/>
    <col min="14346" max="14346" width="9" style="18"/>
    <col min="14347" max="14347" width="9" style="18" customWidth="1"/>
    <col min="14348" max="14594" width="9" style="18"/>
    <col min="14595" max="14595" width="9.86328125" style="18" customWidth="1"/>
    <col min="14596" max="14596" width="2" style="18" customWidth="1"/>
    <col min="14597" max="14597" width="12.53125" style="18" customWidth="1"/>
    <col min="14598" max="14598" width="1.86328125" style="18" customWidth="1"/>
    <col min="14599" max="14599" width="2" style="18" customWidth="1"/>
    <col min="14600" max="14600" width="16" style="18" customWidth="1"/>
    <col min="14601" max="14601" width="26" style="18" customWidth="1"/>
    <col min="14602" max="14602" width="9" style="18"/>
    <col min="14603" max="14603" width="9" style="18" customWidth="1"/>
    <col min="14604" max="14850" width="9" style="18"/>
    <col min="14851" max="14851" width="9.86328125" style="18" customWidth="1"/>
    <col min="14852" max="14852" width="2" style="18" customWidth="1"/>
    <col min="14853" max="14853" width="12.53125" style="18" customWidth="1"/>
    <col min="14854" max="14854" width="1.86328125" style="18" customWidth="1"/>
    <col min="14855" max="14855" width="2" style="18" customWidth="1"/>
    <col min="14856" max="14856" width="16" style="18" customWidth="1"/>
    <col min="14857" max="14857" width="26" style="18" customWidth="1"/>
    <col min="14858" max="14858" width="9" style="18"/>
    <col min="14859" max="14859" width="9" style="18" customWidth="1"/>
    <col min="14860" max="15106" width="9" style="18"/>
    <col min="15107" max="15107" width="9.86328125" style="18" customWidth="1"/>
    <col min="15108" max="15108" width="2" style="18" customWidth="1"/>
    <col min="15109" max="15109" width="12.53125" style="18" customWidth="1"/>
    <col min="15110" max="15110" width="1.86328125" style="18" customWidth="1"/>
    <col min="15111" max="15111" width="2" style="18" customWidth="1"/>
    <col min="15112" max="15112" width="16" style="18" customWidth="1"/>
    <col min="15113" max="15113" width="26" style="18" customWidth="1"/>
    <col min="15114" max="15114" width="9" style="18"/>
    <col min="15115" max="15115" width="9" style="18" customWidth="1"/>
    <col min="15116" max="15362" width="9" style="18"/>
    <col min="15363" max="15363" width="9.86328125" style="18" customWidth="1"/>
    <col min="15364" max="15364" width="2" style="18" customWidth="1"/>
    <col min="15365" max="15365" width="12.53125" style="18" customWidth="1"/>
    <col min="15366" max="15366" width="1.86328125" style="18" customWidth="1"/>
    <col min="15367" max="15367" width="2" style="18" customWidth="1"/>
    <col min="15368" max="15368" width="16" style="18" customWidth="1"/>
    <col min="15369" max="15369" width="26" style="18" customWidth="1"/>
    <col min="15370" max="15370" width="9" style="18"/>
    <col min="15371" max="15371" width="9" style="18" customWidth="1"/>
    <col min="15372" max="15618" width="9" style="18"/>
    <col min="15619" max="15619" width="9.86328125" style="18" customWidth="1"/>
    <col min="15620" max="15620" width="2" style="18" customWidth="1"/>
    <col min="15621" max="15621" width="12.53125" style="18" customWidth="1"/>
    <col min="15622" max="15622" width="1.86328125" style="18" customWidth="1"/>
    <col min="15623" max="15623" width="2" style="18" customWidth="1"/>
    <col min="15624" max="15624" width="16" style="18" customWidth="1"/>
    <col min="15625" max="15625" width="26" style="18" customWidth="1"/>
    <col min="15626" max="15626" width="9" style="18"/>
    <col min="15627" max="15627" width="9" style="18" customWidth="1"/>
    <col min="15628" max="15874" width="9" style="18"/>
    <col min="15875" max="15875" width="9.86328125" style="18" customWidth="1"/>
    <col min="15876" max="15876" width="2" style="18" customWidth="1"/>
    <col min="15877" max="15877" width="12.53125" style="18" customWidth="1"/>
    <col min="15878" max="15878" width="1.86328125" style="18" customWidth="1"/>
    <col min="15879" max="15879" width="2" style="18" customWidth="1"/>
    <col min="15880" max="15880" width="16" style="18" customWidth="1"/>
    <col min="15881" max="15881" width="26" style="18" customWidth="1"/>
    <col min="15882" max="15882" width="9" style="18"/>
    <col min="15883" max="15883" width="9" style="18" customWidth="1"/>
    <col min="15884" max="16130" width="9" style="18"/>
    <col min="16131" max="16131" width="9.86328125" style="18" customWidth="1"/>
    <col min="16132" max="16132" width="2" style="18" customWidth="1"/>
    <col min="16133" max="16133" width="12.53125" style="18" customWidth="1"/>
    <col min="16134" max="16134" width="1.86328125" style="18" customWidth="1"/>
    <col min="16135" max="16135" width="2" style="18" customWidth="1"/>
    <col min="16136" max="16136" width="16" style="18" customWidth="1"/>
    <col min="16137" max="16137" width="26" style="18" customWidth="1"/>
    <col min="16138" max="16138" width="9" style="18"/>
    <col min="16139" max="16139" width="9" style="18" customWidth="1"/>
    <col min="16140" max="16384" width="9" style="18"/>
  </cols>
  <sheetData>
    <row r="1" spans="1:17" ht="17.850000000000001" customHeight="1">
      <c r="A1" s="869" t="s">
        <v>1176</v>
      </c>
      <c r="B1" s="869"/>
      <c r="C1" s="869"/>
      <c r="D1" s="869"/>
      <c r="E1" s="869"/>
      <c r="F1" s="869"/>
      <c r="G1" s="869"/>
      <c r="H1" s="869"/>
      <c r="I1" s="869"/>
      <c r="J1" s="869"/>
      <c r="K1" s="869"/>
      <c r="L1" s="71" t="s">
        <v>253</v>
      </c>
      <c r="M1" s="69"/>
      <c r="N1" s="70"/>
    </row>
    <row r="2" spans="1:17" customFormat="1" ht="5.25" customHeight="1">
      <c r="A2" s="59"/>
      <c r="B2" s="59"/>
      <c r="C2" s="59"/>
      <c r="D2" s="59"/>
      <c r="E2" s="59"/>
      <c r="F2" s="59"/>
      <c r="G2" s="59"/>
      <c r="H2" s="59"/>
      <c r="I2" s="59"/>
      <c r="J2" s="59"/>
      <c r="K2" s="59"/>
      <c r="L2" s="59"/>
      <c r="M2" s="69"/>
      <c r="N2" s="59"/>
    </row>
    <row r="3" spans="1:17" ht="15" customHeight="1">
      <c r="A3" s="884" t="str">
        <f>"Pada hari ini, "&amp;Input!$E$101&amp;", tanggal "&amp;Input!$H$101&amp;", kami yang bertandatangan di bawah ini:"</f>
        <v>Pada hari ini, Jumat, tanggal 1 September 2023, kami yang bertandatangan di bawah ini:</v>
      </c>
      <c r="B3" s="884"/>
      <c r="C3" s="884"/>
      <c r="D3" s="884"/>
      <c r="E3" s="884"/>
      <c r="F3" s="884"/>
      <c r="G3" s="884"/>
      <c r="H3" s="884"/>
      <c r="I3" s="884"/>
      <c r="J3" s="884"/>
      <c r="K3" s="884"/>
    </row>
    <row r="4" spans="1:17" ht="5.25" customHeight="1">
      <c r="A4" s="60"/>
      <c r="B4" s="60"/>
      <c r="C4" s="27"/>
      <c r="D4" s="27"/>
      <c r="E4" s="27"/>
      <c r="F4" s="27"/>
      <c r="G4" s="27"/>
      <c r="H4" s="27"/>
      <c r="I4" s="27"/>
      <c r="J4" s="27"/>
      <c r="K4" s="72"/>
    </row>
    <row r="5" spans="1:17" ht="15" customHeight="1">
      <c r="A5" s="18" t="s">
        <v>1177</v>
      </c>
      <c r="B5" s="60" t="s">
        <v>37</v>
      </c>
      <c r="C5" s="60"/>
      <c r="D5" s="60"/>
      <c r="E5" s="61" t="s">
        <v>2</v>
      </c>
      <c r="F5" s="60" t="str">
        <f>bu_pimn</f>
        <v>Saripudin</v>
      </c>
      <c r="G5" s="60"/>
      <c r="H5" s="60"/>
      <c r="I5" s="60"/>
      <c r="J5" s="60"/>
      <c r="K5" s="60"/>
      <c r="L5" s="60"/>
      <c r="M5" s="72"/>
    </row>
    <row r="6" spans="1:17" ht="15" customHeight="1">
      <c r="B6" s="60" t="s">
        <v>50</v>
      </c>
      <c r="C6" s="60"/>
      <c r="D6" s="60"/>
      <c r="E6" s="61" t="s">
        <v>2</v>
      </c>
      <c r="F6" s="60" t="str">
        <f>bu_pim&amp;" "&amp;bu_nama</f>
        <v>Direktur PT. DARUSSALAM MEDIA GROUP</v>
      </c>
      <c r="G6" s="60"/>
      <c r="H6" s="60"/>
      <c r="I6" s="60"/>
      <c r="J6" s="60"/>
      <c r="K6" s="60"/>
      <c r="L6" s="60"/>
      <c r="M6" s="72"/>
    </row>
    <row r="7" spans="1:17" ht="30.3" customHeight="1">
      <c r="B7" s="60" t="s">
        <v>190</v>
      </c>
      <c r="C7" s="60"/>
      <c r="D7" s="60"/>
      <c r="E7" s="61" t="s">
        <v>2</v>
      </c>
      <c r="F7" s="884" t="str">
        <f>bu_almt</f>
        <v>JL Meninting 13 No.. 22C BTN Kekalik, Kel. Pagesangan Barat, Kota Mataram, Provinsi Nusa Tenggara Barat</v>
      </c>
      <c r="G7" s="884"/>
      <c r="H7" s="884"/>
      <c r="I7" s="884"/>
      <c r="J7" s="884"/>
      <c r="K7" s="884"/>
      <c r="L7" s="60"/>
      <c r="M7" s="60"/>
    </row>
    <row r="8" spans="1:17" ht="5.25" customHeight="1">
      <c r="A8" s="60"/>
      <c r="B8" s="60"/>
      <c r="C8" s="27"/>
      <c r="D8" s="27"/>
      <c r="E8" s="27"/>
      <c r="F8" s="27"/>
      <c r="G8" s="27"/>
      <c r="H8" s="27"/>
      <c r="I8" s="27"/>
      <c r="J8" s="27"/>
      <c r="K8" s="72"/>
    </row>
    <row r="9" spans="1:17" ht="15" customHeight="1">
      <c r="A9" s="18" t="s">
        <v>1178</v>
      </c>
      <c r="B9" s="60" t="s">
        <v>37</v>
      </c>
      <c r="C9" s="60"/>
      <c r="D9" s="60"/>
      <c r="E9" s="61" t="s">
        <v>2</v>
      </c>
      <c r="F9" s="820" t="str">
        <f>Input!D150</f>
        <v>Conan Edogawa</v>
      </c>
      <c r="G9" s="27"/>
      <c r="H9" s="27"/>
      <c r="I9" s="27"/>
      <c r="J9" s="27"/>
      <c r="K9" s="27"/>
      <c r="L9" s="27"/>
      <c r="M9" s="72"/>
    </row>
    <row r="10" spans="1:17" ht="15" customHeight="1">
      <c r="B10" s="60" t="s">
        <v>50</v>
      </c>
      <c r="C10" s="60"/>
      <c r="D10" s="60"/>
      <c r="E10" s="61" t="s">
        <v>2</v>
      </c>
      <c r="F10" s="60" t="str">
        <f>Input!$D$151&amp;" pada "&amp;Input!$D$149</f>
        <v>Team Leader pada Quod Erat Demonstrandum, FA</v>
      </c>
      <c r="G10" s="60"/>
      <c r="H10" s="60"/>
      <c r="I10" s="60"/>
      <c r="J10" s="60"/>
      <c r="K10" s="60"/>
      <c r="L10" s="60"/>
      <c r="M10" s="72"/>
    </row>
    <row r="11" spans="1:17" ht="15" customHeight="1">
      <c r="B11" s="60" t="s">
        <v>190</v>
      </c>
      <c r="C11" s="60"/>
      <c r="D11" s="60"/>
      <c r="E11" s="61" t="s">
        <v>2</v>
      </c>
      <c r="F11" s="1283" t="str">
        <f>Input!$D$152</f>
        <v>Nippon Meitantei Quadran Z Prefecture Y</v>
      </c>
      <c r="G11" s="884"/>
      <c r="H11" s="884"/>
      <c r="I11" s="884"/>
      <c r="J11" s="884"/>
      <c r="K11" s="884"/>
      <c r="L11" s="60"/>
      <c r="M11" s="60"/>
    </row>
    <row r="12" spans="1:17" ht="15" customHeight="1">
      <c r="A12" s="60"/>
      <c r="B12" s="60"/>
      <c r="C12" s="60"/>
      <c r="D12" s="60"/>
      <c r="E12" s="60"/>
      <c r="F12" s="60"/>
      <c r="G12" s="60"/>
      <c r="H12" s="60"/>
      <c r="I12" s="60"/>
      <c r="J12" s="60"/>
      <c r="K12" s="60"/>
    </row>
    <row r="13" spans="1:17" ht="15" customHeight="1">
      <c r="A13" s="157" t="s">
        <v>1179</v>
      </c>
      <c r="B13" s="60"/>
      <c r="C13" s="60"/>
      <c r="D13" s="60"/>
      <c r="E13" s="60"/>
      <c r="F13" s="60"/>
      <c r="G13" s="60"/>
      <c r="H13" s="60"/>
      <c r="I13" s="60"/>
      <c r="J13" s="60"/>
      <c r="K13" s="60"/>
    </row>
    <row r="14" spans="1:17" s="119" customFormat="1" ht="15" customHeight="1">
      <c r="A14" s="821" t="s">
        <v>419</v>
      </c>
      <c r="B14" s="1284" t="s">
        <v>1180</v>
      </c>
      <c r="C14" s="1284"/>
      <c r="D14" s="1284"/>
      <c r="E14" s="1284"/>
      <c r="F14" s="1284"/>
      <c r="G14" s="1284"/>
      <c r="H14" s="1284"/>
      <c r="I14" s="1284"/>
      <c r="J14" s="1284"/>
      <c r="K14" s="1284"/>
      <c r="L14" s="122"/>
      <c r="M14" s="127"/>
      <c r="N14" s="127"/>
      <c r="O14" s="127"/>
      <c r="P14" s="128"/>
    </row>
    <row r="15" spans="1:17" s="119" customFormat="1" ht="15" customHeight="1">
      <c r="B15" s="123" t="s">
        <v>427</v>
      </c>
      <c r="C15" s="120" t="s">
        <v>1181</v>
      </c>
      <c r="D15" s="120"/>
      <c r="E15" s="113" t="s">
        <v>2</v>
      </c>
      <c r="F15" s="120" t="str">
        <f>opd_nama</f>
        <v>Badan Pengelolaan Keuangan dan Aset Daerah</v>
      </c>
      <c r="G15" s="120"/>
      <c r="H15" s="120"/>
      <c r="I15" s="120"/>
      <c r="J15" s="120"/>
      <c r="K15" s="120"/>
      <c r="L15" s="120"/>
      <c r="M15" s="120"/>
      <c r="N15" s="127"/>
      <c r="O15" s="127"/>
      <c r="P15" s="127"/>
      <c r="Q15" s="128"/>
    </row>
    <row r="16" spans="1:17" s="119" customFormat="1" ht="32.1" customHeight="1">
      <c r="B16" s="123" t="s">
        <v>429</v>
      </c>
      <c r="C16" s="120" t="s">
        <v>295</v>
      </c>
      <c r="D16" s="120"/>
      <c r="E16" s="113" t="s">
        <v>2</v>
      </c>
      <c r="F16" s="1287" t="str">
        <f>paket</f>
        <v>Belanja Pemeliharaan Bangunan Gedung-Bangunan Gedung Tempat Kerja-Bangunan Gedung Kantor-Pemeliharaan Gedung Bertingkat</v>
      </c>
      <c r="G16" s="1287"/>
      <c r="H16" s="1287"/>
      <c r="I16" s="1287"/>
      <c r="J16" s="1287"/>
      <c r="K16" s="1287"/>
      <c r="L16" s="120"/>
      <c r="M16" s="120"/>
      <c r="N16" s="127"/>
      <c r="O16" s="127"/>
      <c r="P16" s="127"/>
      <c r="Q16" s="128"/>
    </row>
    <row r="17" spans="1:17" s="119" customFormat="1" ht="15" customHeight="1">
      <c r="B17" s="123" t="s">
        <v>431</v>
      </c>
      <c r="C17" s="120" t="s">
        <v>14</v>
      </c>
      <c r="D17" s="120"/>
      <c r="E17" s="113" t="s">
        <v>2</v>
      </c>
      <c r="F17" s="120" t="str">
        <f>lokasi</f>
        <v>Mataram</v>
      </c>
      <c r="G17" s="120"/>
      <c r="H17" s="120"/>
      <c r="I17" s="120"/>
      <c r="J17" s="120"/>
      <c r="K17" s="120"/>
      <c r="L17" s="120"/>
      <c r="M17" s="120"/>
      <c r="N17" s="127"/>
      <c r="O17" s="127"/>
      <c r="P17" s="127"/>
      <c r="Q17" s="128"/>
    </row>
    <row r="18" spans="1:17" s="119" customFormat="1" ht="15" customHeight="1">
      <c r="B18" s="123" t="s">
        <v>433</v>
      </c>
      <c r="C18" s="120" t="s">
        <v>19</v>
      </c>
      <c r="D18" s="120"/>
      <c r="E18" s="113" t="s">
        <v>2</v>
      </c>
      <c r="F18" s="120" t="str">
        <f>"nomor "&amp;Input!$D$160&amp;" tanggal "&amp;Input!$D$161</f>
        <v>nomor DPA/A.1/5.02.0.00.0.00.02.0000/001/2025 tanggal 02 Januari 2025</v>
      </c>
      <c r="G18" s="120"/>
      <c r="H18" s="120"/>
      <c r="I18" s="120"/>
      <c r="J18" s="120"/>
      <c r="K18" s="120"/>
      <c r="L18" s="120"/>
      <c r="M18" s="120"/>
      <c r="N18" s="127"/>
      <c r="O18" s="127"/>
      <c r="P18" s="127"/>
      <c r="Q18" s="128"/>
    </row>
    <row r="19" spans="1:17" s="119" customFormat="1" ht="15" customHeight="1">
      <c r="B19" s="123" t="s">
        <v>496</v>
      </c>
      <c r="C19" s="120" t="s">
        <v>163</v>
      </c>
      <c r="D19" s="120"/>
      <c r="E19" s="113" t="s">
        <v>2</v>
      </c>
      <c r="F19" s="120" t="str">
        <f>bu_nama</f>
        <v>PT. DARUSSALAM MEDIA GROUP</v>
      </c>
      <c r="G19" s="120"/>
      <c r="H19" s="120"/>
      <c r="I19" s="120"/>
      <c r="J19" s="120"/>
      <c r="K19" s="120"/>
      <c r="L19" s="120"/>
      <c r="M19" s="120"/>
      <c r="N19" s="127"/>
      <c r="O19" s="127"/>
      <c r="P19" s="127"/>
      <c r="Q19" s="128"/>
    </row>
    <row r="20" spans="1:17" s="119" customFormat="1" ht="15" customHeight="1">
      <c r="B20" s="123" t="s">
        <v>498</v>
      </c>
      <c r="C20" s="120" t="s">
        <v>1182</v>
      </c>
      <c r="D20" s="120"/>
      <c r="E20" s="113" t="s">
        <v>2</v>
      </c>
      <c r="F20" s="120" t="str">
        <f>"nomor "&amp;spk_no&amp;" tanggal "&amp;spk_tgl</f>
        <v>nomor 027.1/1/SPK/BPKAD/2025 tanggal 3 Agustus 2023</v>
      </c>
      <c r="G20" s="120"/>
      <c r="H20" s="120"/>
      <c r="I20" s="120"/>
      <c r="J20" s="120"/>
      <c r="K20" s="120"/>
      <c r="L20" s="120"/>
      <c r="M20" s="120"/>
      <c r="N20" s="127"/>
      <c r="O20" s="127"/>
      <c r="P20" s="127"/>
      <c r="Q20" s="128"/>
    </row>
    <row r="21" spans="1:17" s="119" customFormat="1" ht="15" customHeight="1">
      <c r="B21" s="123" t="s">
        <v>598</v>
      </c>
      <c r="C21" s="120" t="s">
        <v>1183</v>
      </c>
      <c r="D21" s="120"/>
      <c r="E21" s="113" t="s">
        <v>2</v>
      </c>
      <c r="F21" s="122" t="str">
        <f>"Rp. "&amp;TEXT(spk_nilai,tiko1)</f>
        <v>Rp. 69,862,000</v>
      </c>
      <c r="G21" s="122"/>
      <c r="H21" s="122"/>
      <c r="I21" s="122"/>
      <c r="J21" s="122"/>
      <c r="K21" s="122"/>
      <c r="L21" s="122"/>
      <c r="M21" s="120"/>
      <c r="N21" s="127"/>
      <c r="O21" s="127"/>
      <c r="P21" s="127"/>
      <c r="Q21" s="128"/>
    </row>
    <row r="22" spans="1:17" s="119" customFormat="1" ht="15" customHeight="1">
      <c r="B22" s="123"/>
      <c r="C22" s="120"/>
      <c r="D22" s="120"/>
      <c r="E22" s="113"/>
      <c r="F22" s="1286" t="str">
        <f>"("&amp;spk_ter&amp;")"</f>
        <v>(Enam Puluh Sembilan Juta Delapan Ratus Enam Puluh Dua Ribu Rupiah)</v>
      </c>
      <c r="G22" s="1286"/>
      <c r="H22" s="1286"/>
      <c r="I22" s="1286"/>
      <c r="J22" s="1286"/>
      <c r="K22" s="1286"/>
      <c r="L22" s="122"/>
      <c r="M22" s="120"/>
      <c r="N22" s="127"/>
      <c r="O22" s="127"/>
      <c r="P22" s="127"/>
      <c r="Q22" s="128"/>
    </row>
    <row r="23" spans="1:17" s="119" customFormat="1" ht="15" customHeight="1">
      <c r="B23" s="123"/>
      <c r="C23" s="120"/>
      <c r="D23" s="120"/>
      <c r="E23" s="113"/>
      <c r="F23" s="1286"/>
      <c r="G23" s="1286"/>
      <c r="H23" s="1286"/>
      <c r="I23" s="1286"/>
      <c r="J23" s="1286"/>
      <c r="K23" s="1286"/>
      <c r="L23" s="122"/>
      <c r="M23" s="120"/>
      <c r="N23" s="127"/>
      <c r="O23" s="127"/>
      <c r="P23" s="127"/>
      <c r="Q23" s="128"/>
    </row>
    <row r="24" spans="1:17" s="119" customFormat="1" ht="15" customHeight="1">
      <c r="B24" s="120"/>
      <c r="C24" s="120"/>
      <c r="D24" s="120" t="s">
        <v>1184</v>
      </c>
      <c r="E24" s="113"/>
      <c r="F24" s="120"/>
      <c r="G24" s="120"/>
      <c r="H24" s="120"/>
      <c r="I24" s="120"/>
      <c r="J24" s="120"/>
      <c r="K24" s="120"/>
      <c r="L24" s="120"/>
      <c r="M24" s="120"/>
      <c r="N24" s="127"/>
      <c r="O24" s="127"/>
      <c r="P24" s="127"/>
      <c r="Q24" s="128"/>
    </row>
    <row r="25" spans="1:17" s="119" customFormat="1" ht="15" customHeight="1">
      <c r="A25" s="821" t="s">
        <v>422</v>
      </c>
      <c r="B25" s="120" t="s">
        <v>1185</v>
      </c>
      <c r="C25" s="120"/>
      <c r="D25" s="120"/>
      <c r="E25" s="120"/>
      <c r="F25" s="120"/>
      <c r="G25" s="120"/>
      <c r="H25" s="120"/>
      <c r="I25" s="120"/>
      <c r="J25" s="120"/>
      <c r="K25" s="120"/>
      <c r="L25" s="120"/>
      <c r="M25" s="127"/>
      <c r="N25" s="127"/>
      <c r="O25" s="127"/>
      <c r="P25" s="128"/>
    </row>
    <row r="26" spans="1:17" s="119" customFormat="1" ht="15" customHeight="1">
      <c r="A26" s="120"/>
      <c r="B26" s="120"/>
      <c r="C26" s="120"/>
      <c r="D26" s="120"/>
      <c r="E26" s="120"/>
      <c r="F26" s="120"/>
      <c r="G26" s="120"/>
      <c r="H26" s="120"/>
      <c r="I26" s="120"/>
      <c r="J26" s="120"/>
      <c r="K26" s="120"/>
      <c r="L26" s="120"/>
      <c r="M26" s="127"/>
      <c r="N26" s="127"/>
      <c r="O26" s="127"/>
      <c r="P26" s="128"/>
    </row>
    <row r="27" spans="1:17" ht="15" customHeight="1">
      <c r="A27" s="820" t="s">
        <v>425</v>
      </c>
      <c r="B27" s="884" t="s">
        <v>1358</v>
      </c>
      <c r="C27" s="884"/>
      <c r="D27" s="884"/>
      <c r="E27" s="884"/>
      <c r="F27" s="884"/>
      <c r="G27" s="884"/>
      <c r="H27" s="884"/>
      <c r="I27" s="884"/>
      <c r="J27" s="884"/>
      <c r="K27" s="884"/>
    </row>
    <row r="28" spans="1:17" ht="15" customHeight="1">
      <c r="A28" s="60"/>
      <c r="B28" s="884"/>
      <c r="C28" s="884"/>
      <c r="D28" s="884"/>
      <c r="E28" s="884"/>
      <c r="F28" s="884"/>
      <c r="G28" s="884"/>
      <c r="H28" s="884"/>
      <c r="I28" s="884"/>
      <c r="J28" s="884"/>
      <c r="K28" s="884"/>
    </row>
    <row r="29" spans="1:17" ht="15" customHeight="1">
      <c r="A29" s="60"/>
      <c r="B29" s="60"/>
      <c r="C29" s="27"/>
      <c r="D29" s="27"/>
      <c r="E29" s="27"/>
      <c r="F29" s="27"/>
      <c r="G29" s="27"/>
      <c r="H29" s="27"/>
      <c r="I29" s="27"/>
      <c r="J29" s="27"/>
      <c r="K29" s="60"/>
    </row>
    <row r="30" spans="1:17" ht="15" customHeight="1">
      <c r="A30" s="60" t="s">
        <v>1155</v>
      </c>
      <c r="B30" s="60"/>
      <c r="C30" s="60"/>
      <c r="D30" s="60"/>
      <c r="E30" s="60"/>
      <c r="F30" s="60"/>
      <c r="G30" s="60"/>
      <c r="H30" s="60"/>
      <c r="I30" s="60"/>
      <c r="J30" s="60"/>
      <c r="K30" s="60"/>
    </row>
    <row r="31" spans="1:17" s="56" customFormat="1" ht="15" customHeight="1">
      <c r="B31" s="37"/>
      <c r="C31" s="37"/>
      <c r="D31" s="44"/>
      <c r="E31" s="64"/>
      <c r="F31" s="63"/>
      <c r="G31" s="63"/>
      <c r="H31" s="44"/>
      <c r="I31" s="44"/>
      <c r="J31" s="73"/>
      <c r="K31" s="74"/>
      <c r="L31" s="74"/>
      <c r="M31" s="37"/>
    </row>
    <row r="32" spans="1:17" s="56" customFormat="1" ht="15" customHeight="1">
      <c r="A32" s="1138" t="s">
        <v>1186</v>
      </c>
      <c r="B32" s="1138"/>
      <c r="C32" s="1138"/>
      <c r="D32" s="1138"/>
      <c r="E32" s="1138"/>
      <c r="F32" s="1285" t="s">
        <v>1187</v>
      </c>
      <c r="G32" s="1285"/>
      <c r="H32" s="1285"/>
      <c r="I32" s="1138" t="s">
        <v>1188</v>
      </c>
      <c r="J32" s="1138"/>
      <c r="K32" s="1138"/>
      <c r="L32" s="74"/>
      <c r="M32" s="37"/>
    </row>
    <row r="33" spans="1:13" s="56" customFormat="1" ht="15" customHeight="1">
      <c r="A33" s="1288" t="str">
        <f>Input!$D$157</f>
        <v>Pejabat Pelaksana Teknis Kegiatan</v>
      </c>
      <c r="B33" s="1138"/>
      <c r="C33" s="1138"/>
      <c r="D33" s="1138"/>
      <c r="E33" s="1138"/>
      <c r="F33" s="1285" t="s">
        <v>1189</v>
      </c>
      <c r="G33" s="1285"/>
      <c r="H33" s="1285"/>
      <c r="I33" s="1138" t="s">
        <v>1190</v>
      </c>
      <c r="J33" s="1138"/>
      <c r="K33" s="1138"/>
      <c r="L33" s="74"/>
      <c r="M33" s="37"/>
    </row>
    <row r="34" spans="1:13" s="56" customFormat="1" ht="15" customHeight="1">
      <c r="A34" s="1138"/>
      <c r="B34" s="1138"/>
      <c r="C34" s="1138"/>
      <c r="D34" s="1138"/>
      <c r="E34" s="1138"/>
      <c r="F34" s="1285" t="str">
        <f>bu_nama</f>
        <v>PT. DARUSSALAM MEDIA GROUP</v>
      </c>
      <c r="G34" s="1285"/>
      <c r="H34" s="1285"/>
      <c r="I34" s="1288" t="str">
        <f>Input!$D$149</f>
        <v>Quod Erat Demonstrandum, FA</v>
      </c>
      <c r="J34" s="1138"/>
      <c r="K34" s="1138"/>
      <c r="L34" s="74"/>
      <c r="M34" s="37"/>
    </row>
    <row r="35" spans="1:13" s="56" customFormat="1" ht="15" customHeight="1">
      <c r="A35" s="1138"/>
      <c r="B35" s="1138"/>
      <c r="C35" s="1138"/>
      <c r="D35" s="1138"/>
      <c r="E35" s="1138"/>
      <c r="F35" s="1285"/>
      <c r="G35" s="1285"/>
      <c r="H35" s="1285"/>
      <c r="I35" s="1138"/>
      <c r="J35" s="1138"/>
      <c r="K35" s="1138"/>
      <c r="L35" s="74"/>
      <c r="M35" s="37"/>
    </row>
    <row r="36" spans="1:13" s="56" customFormat="1" ht="15" customHeight="1">
      <c r="A36" s="1148"/>
      <c r="B36" s="1148"/>
      <c r="C36" s="1148"/>
      <c r="D36" s="1148"/>
      <c r="E36" s="1148"/>
      <c r="F36" s="1285"/>
      <c r="G36" s="1285"/>
      <c r="H36" s="1285"/>
      <c r="I36" s="1138"/>
      <c r="J36" s="1138"/>
      <c r="K36" s="1138"/>
      <c r="L36" s="74"/>
      <c r="M36" s="37"/>
    </row>
    <row r="37" spans="1:13" s="56" customFormat="1" ht="15" customHeight="1">
      <c r="A37" s="1148"/>
      <c r="B37" s="1148"/>
      <c r="C37" s="1148"/>
      <c r="D37" s="1148"/>
      <c r="E37" s="1148"/>
      <c r="F37" s="1285"/>
      <c r="G37" s="1285"/>
      <c r="H37" s="1285"/>
      <c r="I37" s="1138"/>
      <c r="J37" s="1138"/>
      <c r="K37" s="1138"/>
      <c r="L37" s="74"/>
      <c r="M37" s="37"/>
    </row>
    <row r="38" spans="1:13" s="56" customFormat="1" ht="15" customHeight="1">
      <c r="A38" s="1289" t="str">
        <f>Input!$D$155</f>
        <v>M. Syamsul Hadi, S.E</v>
      </c>
      <c r="B38" s="1241"/>
      <c r="C38" s="1241"/>
      <c r="D38" s="1241"/>
      <c r="E38" s="1241"/>
      <c r="F38" s="1290" t="str">
        <f>bu_pimn</f>
        <v>Saripudin</v>
      </c>
      <c r="G38" s="1290"/>
      <c r="H38" s="1290"/>
      <c r="I38" s="1289" t="str">
        <f>Input!$D$150</f>
        <v>Conan Edogawa</v>
      </c>
      <c r="J38" s="1241"/>
      <c r="K38" s="1241"/>
      <c r="L38" s="74"/>
      <c r="M38" s="37"/>
    </row>
    <row r="39" spans="1:13" s="56" customFormat="1" ht="15" customHeight="1">
      <c r="A39" s="1138" t="str">
        <f>"NIP. "&amp;Input!$D$156</f>
        <v>NIP. 19810210 200501 1 010</v>
      </c>
      <c r="B39" s="1138"/>
      <c r="C39" s="1138"/>
      <c r="D39" s="1138"/>
      <c r="E39" s="1138"/>
      <c r="F39" s="1285" t="str">
        <f>bu_pim</f>
        <v>Direktur</v>
      </c>
      <c r="G39" s="1285"/>
      <c r="H39" s="1285"/>
      <c r="I39" s="1288" t="str">
        <f>Input!$D$151</f>
        <v>Team Leader</v>
      </c>
      <c r="J39" s="1138"/>
      <c r="K39" s="1138"/>
      <c r="L39" s="74"/>
      <c r="M39" s="37"/>
    </row>
    <row r="40" spans="1:13" ht="5.25" customHeight="1">
      <c r="A40" s="60"/>
      <c r="B40" s="60"/>
      <c r="C40" s="60"/>
      <c r="D40" s="60"/>
      <c r="E40" s="60"/>
      <c r="F40" s="60"/>
      <c r="G40" s="60"/>
      <c r="H40" s="60"/>
      <c r="I40" s="60"/>
      <c r="J40" s="60"/>
      <c r="K40" s="60"/>
    </row>
    <row r="41" spans="1:13" ht="15" customHeight="1">
      <c r="C41" s="43"/>
      <c r="D41" s="43"/>
      <c r="H41" s="44"/>
      <c r="I41" s="44"/>
      <c r="J41" s="53"/>
      <c r="K41" s="53"/>
    </row>
    <row r="42" spans="1:13" ht="15" customHeight="1">
      <c r="A42" s="37"/>
      <c r="B42" s="37"/>
      <c r="C42" s="38"/>
      <c r="D42" s="38"/>
      <c r="E42" s="37"/>
      <c r="F42" s="37"/>
      <c r="G42" s="37"/>
      <c r="H42" s="37"/>
      <c r="I42" s="37"/>
      <c r="J42" s="37"/>
      <c r="K42" s="37"/>
    </row>
    <row r="43" spans="1:13" ht="15" customHeight="1">
      <c r="A43" s="37"/>
      <c r="B43" s="37"/>
      <c r="C43" s="38"/>
      <c r="D43" s="38"/>
      <c r="E43" s="37"/>
      <c r="F43" s="37"/>
      <c r="G43" s="37"/>
      <c r="H43" s="39"/>
      <c r="I43" s="39"/>
      <c r="J43" s="37"/>
      <c r="K43" s="37"/>
    </row>
    <row r="44" spans="1:13" ht="15" customHeight="1">
      <c r="A44" s="37"/>
      <c r="B44" s="37"/>
      <c r="C44" s="38"/>
      <c r="D44" s="38"/>
      <c r="E44" s="37"/>
      <c r="F44" s="37"/>
      <c r="G44" s="37"/>
      <c r="H44" s="37"/>
      <c r="I44" s="37"/>
      <c r="J44" s="37"/>
      <c r="K44" s="37"/>
    </row>
  </sheetData>
  <mergeCells count="30">
    <mergeCell ref="F22:K23"/>
    <mergeCell ref="F16:K16"/>
    <mergeCell ref="A39:E39"/>
    <mergeCell ref="F39:H39"/>
    <mergeCell ref="I39:K39"/>
    <mergeCell ref="B27:K28"/>
    <mergeCell ref="A33:E35"/>
    <mergeCell ref="A37:E37"/>
    <mergeCell ref="F37:H37"/>
    <mergeCell ref="I37:K37"/>
    <mergeCell ref="A38:E38"/>
    <mergeCell ref="F38:H38"/>
    <mergeCell ref="I38:K38"/>
    <mergeCell ref="F34:H34"/>
    <mergeCell ref="I34:K34"/>
    <mergeCell ref="F35:H35"/>
    <mergeCell ref="I35:K35"/>
    <mergeCell ref="A36:E36"/>
    <mergeCell ref="F36:H36"/>
    <mergeCell ref="I36:K36"/>
    <mergeCell ref="A32:E32"/>
    <mergeCell ref="F32:H32"/>
    <mergeCell ref="I32:K32"/>
    <mergeCell ref="F33:H33"/>
    <mergeCell ref="I33:K33"/>
    <mergeCell ref="A1:K1"/>
    <mergeCell ref="A3:K3"/>
    <mergeCell ref="F7:K7"/>
    <mergeCell ref="F11:K11"/>
    <mergeCell ref="B14:K14"/>
  </mergeCells>
  <hyperlinks>
    <hyperlink ref="L1" location="Input!A72" display="balik ke input" xr:uid="{00000000-0004-0000-1100-000000000000}"/>
  </hyperlinks>
  <printOptions horizontalCentered="1"/>
  <pageMargins left="0.78740157480314998" right="0.55118110236220497" top="0.78740157480314998" bottom="0.78740157480314998" header="0" footer="0"/>
  <pageSetup paperSize="9" scale="95" orientation="portrait" horizontalDpi="200" verticalDpi="300" r:id="rId1"/>
  <colBreaks count="1" manualBreakCount="1">
    <brk id="11" max="3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rgb="FFFFC000"/>
  </sheetPr>
  <dimension ref="A1:N38"/>
  <sheetViews>
    <sheetView view="pageBreakPreview" zoomScale="115" zoomScaleNormal="100" workbookViewId="0">
      <selection activeCell="I8" sqref="I8"/>
    </sheetView>
  </sheetViews>
  <sheetFormatPr defaultColWidth="9" defaultRowHeight="14.25"/>
  <cols>
    <col min="1" max="1" width="4.53125" style="18" customWidth="1"/>
    <col min="2" max="2" width="5.796875" style="18" customWidth="1"/>
    <col min="3" max="3" width="2" style="18" customWidth="1"/>
    <col min="4" max="4" width="5.19921875" style="18" customWidth="1"/>
    <col min="5" max="5" width="1.86328125" style="18" customWidth="1"/>
    <col min="6" max="6" width="3.796875" style="18" customWidth="1"/>
    <col min="7" max="7" width="19.53125" style="18" customWidth="1"/>
    <col min="8" max="8" width="1.53125" style="18" customWidth="1"/>
    <col min="9" max="10" width="9.86328125" style="18" customWidth="1"/>
    <col min="11" max="11" width="10.796875" style="18" customWidth="1"/>
    <col min="12" max="12" width="12.86328125" style="18" customWidth="1"/>
    <col min="13" max="13" width="3.6640625" style="18" customWidth="1"/>
    <col min="14" max="15" width="15" style="18" customWidth="1"/>
    <col min="16" max="259" width="9" style="18"/>
    <col min="260" max="260" width="9.86328125" style="18" customWidth="1"/>
    <col min="261" max="261" width="2" style="18" customWidth="1"/>
    <col min="262" max="262" width="12.53125" style="18" customWidth="1"/>
    <col min="263" max="263" width="1.86328125" style="18" customWidth="1"/>
    <col min="264" max="264" width="2" style="18" customWidth="1"/>
    <col min="265" max="265" width="16" style="18" customWidth="1"/>
    <col min="266" max="266" width="26" style="18" customWidth="1"/>
    <col min="267" max="267" width="9" style="18"/>
    <col min="268" max="268" width="9" style="18" customWidth="1"/>
    <col min="269" max="515" width="9" style="18"/>
    <col min="516" max="516" width="9.86328125" style="18" customWidth="1"/>
    <col min="517" max="517" width="2" style="18" customWidth="1"/>
    <col min="518" max="518" width="12.53125" style="18" customWidth="1"/>
    <col min="519" max="519" width="1.86328125" style="18" customWidth="1"/>
    <col min="520" max="520" width="2" style="18" customWidth="1"/>
    <col min="521" max="521" width="16" style="18" customWidth="1"/>
    <col min="522" max="522" width="26" style="18" customWidth="1"/>
    <col min="523" max="523" width="9" style="18"/>
    <col min="524" max="524" width="9" style="18" customWidth="1"/>
    <col min="525" max="771" width="9" style="18"/>
    <col min="772" max="772" width="9.86328125" style="18" customWidth="1"/>
    <col min="773" max="773" width="2" style="18" customWidth="1"/>
    <col min="774" max="774" width="12.53125" style="18" customWidth="1"/>
    <col min="775" max="775" width="1.86328125" style="18" customWidth="1"/>
    <col min="776" max="776" width="2" style="18" customWidth="1"/>
    <col min="777" max="777" width="16" style="18" customWidth="1"/>
    <col min="778" max="778" width="26" style="18" customWidth="1"/>
    <col min="779" max="779" width="9" style="18"/>
    <col min="780" max="780" width="9" style="18" customWidth="1"/>
    <col min="781" max="1027" width="9" style="18"/>
    <col min="1028" max="1028" width="9.86328125" style="18" customWidth="1"/>
    <col min="1029" max="1029" width="2" style="18" customWidth="1"/>
    <col min="1030" max="1030" width="12.53125" style="18" customWidth="1"/>
    <col min="1031" max="1031" width="1.86328125" style="18" customWidth="1"/>
    <col min="1032" max="1032" width="2" style="18" customWidth="1"/>
    <col min="1033" max="1033" width="16" style="18" customWidth="1"/>
    <col min="1034" max="1034" width="26" style="18" customWidth="1"/>
    <col min="1035" max="1035" width="9" style="18"/>
    <col min="1036" max="1036" width="9" style="18" customWidth="1"/>
    <col min="1037" max="1283" width="9" style="18"/>
    <col min="1284" max="1284" width="9.86328125" style="18" customWidth="1"/>
    <col min="1285" max="1285" width="2" style="18" customWidth="1"/>
    <col min="1286" max="1286" width="12.53125" style="18" customWidth="1"/>
    <col min="1287" max="1287" width="1.86328125" style="18" customWidth="1"/>
    <col min="1288" max="1288" width="2" style="18" customWidth="1"/>
    <col min="1289" max="1289" width="16" style="18" customWidth="1"/>
    <col min="1290" max="1290" width="26" style="18" customWidth="1"/>
    <col min="1291" max="1291" width="9" style="18"/>
    <col min="1292" max="1292" width="9" style="18" customWidth="1"/>
    <col min="1293" max="1539" width="9" style="18"/>
    <col min="1540" max="1540" width="9.86328125" style="18" customWidth="1"/>
    <col min="1541" max="1541" width="2" style="18" customWidth="1"/>
    <col min="1542" max="1542" width="12.53125" style="18" customWidth="1"/>
    <col min="1543" max="1543" width="1.86328125" style="18" customWidth="1"/>
    <col min="1544" max="1544" width="2" style="18" customWidth="1"/>
    <col min="1545" max="1545" width="16" style="18" customWidth="1"/>
    <col min="1546" max="1546" width="26" style="18" customWidth="1"/>
    <col min="1547" max="1547" width="9" style="18"/>
    <col min="1548" max="1548" width="9" style="18" customWidth="1"/>
    <col min="1549" max="1795" width="9" style="18"/>
    <col min="1796" max="1796" width="9.86328125" style="18" customWidth="1"/>
    <col min="1797" max="1797" width="2" style="18" customWidth="1"/>
    <col min="1798" max="1798" width="12.53125" style="18" customWidth="1"/>
    <col min="1799" max="1799" width="1.86328125" style="18" customWidth="1"/>
    <col min="1800" max="1800" width="2" style="18" customWidth="1"/>
    <col min="1801" max="1801" width="16" style="18" customWidth="1"/>
    <col min="1802" max="1802" width="26" style="18" customWidth="1"/>
    <col min="1803" max="1803" width="9" style="18"/>
    <col min="1804" max="1804" width="9" style="18" customWidth="1"/>
    <col min="1805" max="2051" width="9" style="18"/>
    <col min="2052" max="2052" width="9.86328125" style="18" customWidth="1"/>
    <col min="2053" max="2053" width="2" style="18" customWidth="1"/>
    <col min="2054" max="2054" width="12.53125" style="18" customWidth="1"/>
    <col min="2055" max="2055" width="1.86328125" style="18" customWidth="1"/>
    <col min="2056" max="2056" width="2" style="18" customWidth="1"/>
    <col min="2057" max="2057" width="16" style="18" customWidth="1"/>
    <col min="2058" max="2058" width="26" style="18" customWidth="1"/>
    <col min="2059" max="2059" width="9" style="18"/>
    <col min="2060" max="2060" width="9" style="18" customWidth="1"/>
    <col min="2061" max="2307" width="9" style="18"/>
    <col min="2308" max="2308" width="9.86328125" style="18" customWidth="1"/>
    <col min="2309" max="2309" width="2" style="18" customWidth="1"/>
    <col min="2310" max="2310" width="12.53125" style="18" customWidth="1"/>
    <col min="2311" max="2311" width="1.86328125" style="18" customWidth="1"/>
    <col min="2312" max="2312" width="2" style="18" customWidth="1"/>
    <col min="2313" max="2313" width="16" style="18" customWidth="1"/>
    <col min="2314" max="2314" width="26" style="18" customWidth="1"/>
    <col min="2315" max="2315" width="9" style="18"/>
    <col min="2316" max="2316" width="9" style="18" customWidth="1"/>
    <col min="2317" max="2563" width="9" style="18"/>
    <col min="2564" max="2564" width="9.86328125" style="18" customWidth="1"/>
    <col min="2565" max="2565" width="2" style="18" customWidth="1"/>
    <col min="2566" max="2566" width="12.53125" style="18" customWidth="1"/>
    <col min="2567" max="2567" width="1.86328125" style="18" customWidth="1"/>
    <col min="2568" max="2568" width="2" style="18" customWidth="1"/>
    <col min="2569" max="2569" width="16" style="18" customWidth="1"/>
    <col min="2570" max="2570" width="26" style="18" customWidth="1"/>
    <col min="2571" max="2571" width="9" style="18"/>
    <col min="2572" max="2572" width="9" style="18" customWidth="1"/>
    <col min="2573" max="2819" width="9" style="18"/>
    <col min="2820" max="2820" width="9.86328125" style="18" customWidth="1"/>
    <col min="2821" max="2821" width="2" style="18" customWidth="1"/>
    <col min="2822" max="2822" width="12.53125" style="18" customWidth="1"/>
    <col min="2823" max="2823" width="1.86328125" style="18" customWidth="1"/>
    <col min="2824" max="2824" width="2" style="18" customWidth="1"/>
    <col min="2825" max="2825" width="16" style="18" customWidth="1"/>
    <col min="2826" max="2826" width="26" style="18" customWidth="1"/>
    <col min="2827" max="2827" width="9" style="18"/>
    <col min="2828" max="2828" width="9" style="18" customWidth="1"/>
    <col min="2829" max="3075" width="9" style="18"/>
    <col min="3076" max="3076" width="9.86328125" style="18" customWidth="1"/>
    <col min="3077" max="3077" width="2" style="18" customWidth="1"/>
    <col min="3078" max="3078" width="12.53125" style="18" customWidth="1"/>
    <col min="3079" max="3079" width="1.86328125" style="18" customWidth="1"/>
    <col min="3080" max="3080" width="2" style="18" customWidth="1"/>
    <col min="3081" max="3081" width="16" style="18" customWidth="1"/>
    <col min="3082" max="3082" width="26" style="18" customWidth="1"/>
    <col min="3083" max="3083" width="9" style="18"/>
    <col min="3084" max="3084" width="9" style="18" customWidth="1"/>
    <col min="3085" max="3331" width="9" style="18"/>
    <col min="3332" max="3332" width="9.86328125" style="18" customWidth="1"/>
    <col min="3333" max="3333" width="2" style="18" customWidth="1"/>
    <col min="3334" max="3334" width="12.53125" style="18" customWidth="1"/>
    <col min="3335" max="3335" width="1.86328125" style="18" customWidth="1"/>
    <col min="3336" max="3336" width="2" style="18" customWidth="1"/>
    <col min="3337" max="3337" width="16" style="18" customWidth="1"/>
    <col min="3338" max="3338" width="26" style="18" customWidth="1"/>
    <col min="3339" max="3339" width="9" style="18"/>
    <col min="3340" max="3340" width="9" style="18" customWidth="1"/>
    <col min="3341" max="3587" width="9" style="18"/>
    <col min="3588" max="3588" width="9.86328125" style="18" customWidth="1"/>
    <col min="3589" max="3589" width="2" style="18" customWidth="1"/>
    <col min="3590" max="3590" width="12.53125" style="18" customWidth="1"/>
    <col min="3591" max="3591" width="1.86328125" style="18" customWidth="1"/>
    <col min="3592" max="3592" width="2" style="18" customWidth="1"/>
    <col min="3593" max="3593" width="16" style="18" customWidth="1"/>
    <col min="3594" max="3594" width="26" style="18" customWidth="1"/>
    <col min="3595" max="3595" width="9" style="18"/>
    <col min="3596" max="3596" width="9" style="18" customWidth="1"/>
    <col min="3597" max="3843" width="9" style="18"/>
    <col min="3844" max="3844" width="9.86328125" style="18" customWidth="1"/>
    <col min="3845" max="3845" width="2" style="18" customWidth="1"/>
    <col min="3846" max="3846" width="12.53125" style="18" customWidth="1"/>
    <col min="3847" max="3847" width="1.86328125" style="18" customWidth="1"/>
    <col min="3848" max="3848" width="2" style="18" customWidth="1"/>
    <col min="3849" max="3849" width="16" style="18" customWidth="1"/>
    <col min="3850" max="3850" width="26" style="18" customWidth="1"/>
    <col min="3851" max="3851" width="9" style="18"/>
    <col min="3852" max="3852" width="9" style="18" customWidth="1"/>
    <col min="3853" max="4099" width="9" style="18"/>
    <col min="4100" max="4100" width="9.86328125" style="18" customWidth="1"/>
    <col min="4101" max="4101" width="2" style="18" customWidth="1"/>
    <col min="4102" max="4102" width="12.53125" style="18" customWidth="1"/>
    <col min="4103" max="4103" width="1.86328125" style="18" customWidth="1"/>
    <col min="4104" max="4104" width="2" style="18" customWidth="1"/>
    <col min="4105" max="4105" width="16" style="18" customWidth="1"/>
    <col min="4106" max="4106" width="26" style="18" customWidth="1"/>
    <col min="4107" max="4107" width="9" style="18"/>
    <col min="4108" max="4108" width="9" style="18" customWidth="1"/>
    <col min="4109" max="4355" width="9" style="18"/>
    <col min="4356" max="4356" width="9.86328125" style="18" customWidth="1"/>
    <col min="4357" max="4357" width="2" style="18" customWidth="1"/>
    <col min="4358" max="4358" width="12.53125" style="18" customWidth="1"/>
    <col min="4359" max="4359" width="1.86328125" style="18" customWidth="1"/>
    <col min="4360" max="4360" width="2" style="18" customWidth="1"/>
    <col min="4361" max="4361" width="16" style="18" customWidth="1"/>
    <col min="4362" max="4362" width="26" style="18" customWidth="1"/>
    <col min="4363" max="4363" width="9" style="18"/>
    <col min="4364" max="4364" width="9" style="18" customWidth="1"/>
    <col min="4365" max="4611" width="9" style="18"/>
    <col min="4612" max="4612" width="9.86328125" style="18" customWidth="1"/>
    <col min="4613" max="4613" width="2" style="18" customWidth="1"/>
    <col min="4614" max="4614" width="12.53125" style="18" customWidth="1"/>
    <col min="4615" max="4615" width="1.86328125" style="18" customWidth="1"/>
    <col min="4616" max="4616" width="2" style="18" customWidth="1"/>
    <col min="4617" max="4617" width="16" style="18" customWidth="1"/>
    <col min="4618" max="4618" width="26" style="18" customWidth="1"/>
    <col min="4619" max="4619" width="9" style="18"/>
    <col min="4620" max="4620" width="9" style="18" customWidth="1"/>
    <col min="4621" max="4867" width="9" style="18"/>
    <col min="4868" max="4868" width="9.86328125" style="18" customWidth="1"/>
    <col min="4869" max="4869" width="2" style="18" customWidth="1"/>
    <col min="4870" max="4870" width="12.53125" style="18" customWidth="1"/>
    <col min="4871" max="4871" width="1.86328125" style="18" customWidth="1"/>
    <col min="4872" max="4872" width="2" style="18" customWidth="1"/>
    <col min="4873" max="4873" width="16" style="18" customWidth="1"/>
    <col min="4874" max="4874" width="26" style="18" customWidth="1"/>
    <col min="4875" max="4875" width="9" style="18"/>
    <col min="4876" max="4876" width="9" style="18" customWidth="1"/>
    <col min="4877" max="5123" width="9" style="18"/>
    <col min="5124" max="5124" width="9.86328125" style="18" customWidth="1"/>
    <col min="5125" max="5125" width="2" style="18" customWidth="1"/>
    <col min="5126" max="5126" width="12.53125" style="18" customWidth="1"/>
    <col min="5127" max="5127" width="1.86328125" style="18" customWidth="1"/>
    <col min="5128" max="5128" width="2" style="18" customWidth="1"/>
    <col min="5129" max="5129" width="16" style="18" customWidth="1"/>
    <col min="5130" max="5130" width="26" style="18" customWidth="1"/>
    <col min="5131" max="5131" width="9" style="18"/>
    <col min="5132" max="5132" width="9" style="18" customWidth="1"/>
    <col min="5133" max="5379" width="9" style="18"/>
    <col min="5380" max="5380" width="9.86328125" style="18" customWidth="1"/>
    <col min="5381" max="5381" width="2" style="18" customWidth="1"/>
    <col min="5382" max="5382" width="12.53125" style="18" customWidth="1"/>
    <col min="5383" max="5383" width="1.86328125" style="18" customWidth="1"/>
    <col min="5384" max="5384" width="2" style="18" customWidth="1"/>
    <col min="5385" max="5385" width="16" style="18" customWidth="1"/>
    <col min="5386" max="5386" width="26" style="18" customWidth="1"/>
    <col min="5387" max="5387" width="9" style="18"/>
    <col min="5388" max="5388" width="9" style="18" customWidth="1"/>
    <col min="5389" max="5635" width="9" style="18"/>
    <col min="5636" max="5636" width="9.86328125" style="18" customWidth="1"/>
    <col min="5637" max="5637" width="2" style="18" customWidth="1"/>
    <col min="5638" max="5638" width="12.53125" style="18" customWidth="1"/>
    <col min="5639" max="5639" width="1.86328125" style="18" customWidth="1"/>
    <col min="5640" max="5640" width="2" style="18" customWidth="1"/>
    <col min="5641" max="5641" width="16" style="18" customWidth="1"/>
    <col min="5642" max="5642" width="26" style="18" customWidth="1"/>
    <col min="5643" max="5643" width="9" style="18"/>
    <col min="5644" max="5644" width="9" style="18" customWidth="1"/>
    <col min="5645" max="5891" width="9" style="18"/>
    <col min="5892" max="5892" width="9.86328125" style="18" customWidth="1"/>
    <col min="5893" max="5893" width="2" style="18" customWidth="1"/>
    <col min="5894" max="5894" width="12.53125" style="18" customWidth="1"/>
    <col min="5895" max="5895" width="1.86328125" style="18" customWidth="1"/>
    <col min="5896" max="5896" width="2" style="18" customWidth="1"/>
    <col min="5897" max="5897" width="16" style="18" customWidth="1"/>
    <col min="5898" max="5898" width="26" style="18" customWidth="1"/>
    <col min="5899" max="5899" width="9" style="18"/>
    <col min="5900" max="5900" width="9" style="18" customWidth="1"/>
    <col min="5901" max="6147" width="9" style="18"/>
    <col min="6148" max="6148" width="9.86328125" style="18" customWidth="1"/>
    <col min="6149" max="6149" width="2" style="18" customWidth="1"/>
    <col min="6150" max="6150" width="12.53125" style="18" customWidth="1"/>
    <col min="6151" max="6151" width="1.86328125" style="18" customWidth="1"/>
    <col min="6152" max="6152" width="2" style="18" customWidth="1"/>
    <col min="6153" max="6153" width="16" style="18" customWidth="1"/>
    <col min="6154" max="6154" width="26" style="18" customWidth="1"/>
    <col min="6155" max="6155" width="9" style="18"/>
    <col min="6156" max="6156" width="9" style="18" customWidth="1"/>
    <col min="6157" max="6403" width="9" style="18"/>
    <col min="6404" max="6404" width="9.86328125" style="18" customWidth="1"/>
    <col min="6405" max="6405" width="2" style="18" customWidth="1"/>
    <col min="6406" max="6406" width="12.53125" style="18" customWidth="1"/>
    <col min="6407" max="6407" width="1.86328125" style="18" customWidth="1"/>
    <col min="6408" max="6408" width="2" style="18" customWidth="1"/>
    <col min="6409" max="6409" width="16" style="18" customWidth="1"/>
    <col min="6410" max="6410" width="26" style="18" customWidth="1"/>
    <col min="6411" max="6411" width="9" style="18"/>
    <col min="6412" max="6412" width="9" style="18" customWidth="1"/>
    <col min="6413" max="6659" width="9" style="18"/>
    <col min="6660" max="6660" width="9.86328125" style="18" customWidth="1"/>
    <col min="6661" max="6661" width="2" style="18" customWidth="1"/>
    <col min="6662" max="6662" width="12.53125" style="18" customWidth="1"/>
    <col min="6663" max="6663" width="1.86328125" style="18" customWidth="1"/>
    <col min="6664" max="6664" width="2" style="18" customWidth="1"/>
    <col min="6665" max="6665" width="16" style="18" customWidth="1"/>
    <col min="6666" max="6666" width="26" style="18" customWidth="1"/>
    <col min="6667" max="6667" width="9" style="18"/>
    <col min="6668" max="6668" width="9" style="18" customWidth="1"/>
    <col min="6669" max="6915" width="9" style="18"/>
    <col min="6916" max="6916" width="9.86328125" style="18" customWidth="1"/>
    <col min="6917" max="6917" width="2" style="18" customWidth="1"/>
    <col min="6918" max="6918" width="12.53125" style="18" customWidth="1"/>
    <col min="6919" max="6919" width="1.86328125" style="18" customWidth="1"/>
    <col min="6920" max="6920" width="2" style="18" customWidth="1"/>
    <col min="6921" max="6921" width="16" style="18" customWidth="1"/>
    <col min="6922" max="6922" width="26" style="18" customWidth="1"/>
    <col min="6923" max="6923" width="9" style="18"/>
    <col min="6924" max="6924" width="9" style="18" customWidth="1"/>
    <col min="6925" max="7171" width="9" style="18"/>
    <col min="7172" max="7172" width="9.86328125" style="18" customWidth="1"/>
    <col min="7173" max="7173" width="2" style="18" customWidth="1"/>
    <col min="7174" max="7174" width="12.53125" style="18" customWidth="1"/>
    <col min="7175" max="7175" width="1.86328125" style="18" customWidth="1"/>
    <col min="7176" max="7176" width="2" style="18" customWidth="1"/>
    <col min="7177" max="7177" width="16" style="18" customWidth="1"/>
    <col min="7178" max="7178" width="26" style="18" customWidth="1"/>
    <col min="7179" max="7179" width="9" style="18"/>
    <col min="7180" max="7180" width="9" style="18" customWidth="1"/>
    <col min="7181" max="7427" width="9" style="18"/>
    <col min="7428" max="7428" width="9.86328125" style="18" customWidth="1"/>
    <col min="7429" max="7429" width="2" style="18" customWidth="1"/>
    <col min="7430" max="7430" width="12.53125" style="18" customWidth="1"/>
    <col min="7431" max="7431" width="1.86328125" style="18" customWidth="1"/>
    <col min="7432" max="7432" width="2" style="18" customWidth="1"/>
    <col min="7433" max="7433" width="16" style="18" customWidth="1"/>
    <col min="7434" max="7434" width="26" style="18" customWidth="1"/>
    <col min="7435" max="7435" width="9" style="18"/>
    <col min="7436" max="7436" width="9" style="18" customWidth="1"/>
    <col min="7437" max="7683" width="9" style="18"/>
    <col min="7684" max="7684" width="9.86328125" style="18" customWidth="1"/>
    <col min="7685" max="7685" width="2" style="18" customWidth="1"/>
    <col min="7686" max="7686" width="12.53125" style="18" customWidth="1"/>
    <col min="7687" max="7687" width="1.86328125" style="18" customWidth="1"/>
    <col min="7688" max="7688" width="2" style="18" customWidth="1"/>
    <col min="7689" max="7689" width="16" style="18" customWidth="1"/>
    <col min="7690" max="7690" width="26" style="18" customWidth="1"/>
    <col min="7691" max="7691" width="9" style="18"/>
    <col min="7692" max="7692" width="9" style="18" customWidth="1"/>
    <col min="7693" max="7939" width="9" style="18"/>
    <col min="7940" max="7940" width="9.86328125" style="18" customWidth="1"/>
    <col min="7941" max="7941" width="2" style="18" customWidth="1"/>
    <col min="7942" max="7942" width="12.53125" style="18" customWidth="1"/>
    <col min="7943" max="7943" width="1.86328125" style="18" customWidth="1"/>
    <col min="7944" max="7944" width="2" style="18" customWidth="1"/>
    <col min="7945" max="7945" width="16" style="18" customWidth="1"/>
    <col min="7946" max="7946" width="26" style="18" customWidth="1"/>
    <col min="7947" max="7947" width="9" style="18"/>
    <col min="7948" max="7948" width="9" style="18" customWidth="1"/>
    <col min="7949" max="8195" width="9" style="18"/>
    <col min="8196" max="8196" width="9.86328125" style="18" customWidth="1"/>
    <col min="8197" max="8197" width="2" style="18" customWidth="1"/>
    <col min="8198" max="8198" width="12.53125" style="18" customWidth="1"/>
    <col min="8199" max="8199" width="1.86328125" style="18" customWidth="1"/>
    <col min="8200" max="8200" width="2" style="18" customWidth="1"/>
    <col min="8201" max="8201" width="16" style="18" customWidth="1"/>
    <col min="8202" max="8202" width="26" style="18" customWidth="1"/>
    <col min="8203" max="8203" width="9" style="18"/>
    <col min="8204" max="8204" width="9" style="18" customWidth="1"/>
    <col min="8205" max="8451" width="9" style="18"/>
    <col min="8452" max="8452" width="9.86328125" style="18" customWidth="1"/>
    <col min="8453" max="8453" width="2" style="18" customWidth="1"/>
    <col min="8454" max="8454" width="12.53125" style="18" customWidth="1"/>
    <col min="8455" max="8455" width="1.86328125" style="18" customWidth="1"/>
    <col min="8456" max="8456" width="2" style="18" customWidth="1"/>
    <col min="8457" max="8457" width="16" style="18" customWidth="1"/>
    <col min="8458" max="8458" width="26" style="18" customWidth="1"/>
    <col min="8459" max="8459" width="9" style="18"/>
    <col min="8460" max="8460" width="9" style="18" customWidth="1"/>
    <col min="8461" max="8707" width="9" style="18"/>
    <col min="8708" max="8708" width="9.86328125" style="18" customWidth="1"/>
    <col min="8709" max="8709" width="2" style="18" customWidth="1"/>
    <col min="8710" max="8710" width="12.53125" style="18" customWidth="1"/>
    <col min="8711" max="8711" width="1.86328125" style="18" customWidth="1"/>
    <col min="8712" max="8712" width="2" style="18" customWidth="1"/>
    <col min="8713" max="8713" width="16" style="18" customWidth="1"/>
    <col min="8714" max="8714" width="26" style="18" customWidth="1"/>
    <col min="8715" max="8715" width="9" style="18"/>
    <col min="8716" max="8716" width="9" style="18" customWidth="1"/>
    <col min="8717" max="8963" width="9" style="18"/>
    <col min="8964" max="8964" width="9.86328125" style="18" customWidth="1"/>
    <col min="8965" max="8965" width="2" style="18" customWidth="1"/>
    <col min="8966" max="8966" width="12.53125" style="18" customWidth="1"/>
    <col min="8967" max="8967" width="1.86328125" style="18" customWidth="1"/>
    <col min="8968" max="8968" width="2" style="18" customWidth="1"/>
    <col min="8969" max="8969" width="16" style="18" customWidth="1"/>
    <col min="8970" max="8970" width="26" style="18" customWidth="1"/>
    <col min="8971" max="8971" width="9" style="18"/>
    <col min="8972" max="8972" width="9" style="18" customWidth="1"/>
    <col min="8973" max="9219" width="9" style="18"/>
    <col min="9220" max="9220" width="9.86328125" style="18" customWidth="1"/>
    <col min="9221" max="9221" width="2" style="18" customWidth="1"/>
    <col min="9222" max="9222" width="12.53125" style="18" customWidth="1"/>
    <col min="9223" max="9223" width="1.86328125" style="18" customWidth="1"/>
    <col min="9224" max="9224" width="2" style="18" customWidth="1"/>
    <col min="9225" max="9225" width="16" style="18" customWidth="1"/>
    <col min="9226" max="9226" width="26" style="18" customWidth="1"/>
    <col min="9227" max="9227" width="9" style="18"/>
    <col min="9228" max="9228" width="9" style="18" customWidth="1"/>
    <col min="9229" max="9475" width="9" style="18"/>
    <col min="9476" max="9476" width="9.86328125" style="18" customWidth="1"/>
    <col min="9477" max="9477" width="2" style="18" customWidth="1"/>
    <col min="9478" max="9478" width="12.53125" style="18" customWidth="1"/>
    <col min="9479" max="9479" width="1.86328125" style="18" customWidth="1"/>
    <col min="9480" max="9480" width="2" style="18" customWidth="1"/>
    <col min="9481" max="9481" width="16" style="18" customWidth="1"/>
    <col min="9482" max="9482" width="26" style="18" customWidth="1"/>
    <col min="9483" max="9483" width="9" style="18"/>
    <col min="9484" max="9484" width="9" style="18" customWidth="1"/>
    <col min="9485" max="9731" width="9" style="18"/>
    <col min="9732" max="9732" width="9.86328125" style="18" customWidth="1"/>
    <col min="9733" max="9733" width="2" style="18" customWidth="1"/>
    <col min="9734" max="9734" width="12.53125" style="18" customWidth="1"/>
    <col min="9735" max="9735" width="1.86328125" style="18" customWidth="1"/>
    <col min="9736" max="9736" width="2" style="18" customWidth="1"/>
    <col min="9737" max="9737" width="16" style="18" customWidth="1"/>
    <col min="9738" max="9738" width="26" style="18" customWidth="1"/>
    <col min="9739" max="9739" width="9" style="18"/>
    <col min="9740" max="9740" width="9" style="18" customWidth="1"/>
    <col min="9741" max="9987" width="9" style="18"/>
    <col min="9988" max="9988" width="9.86328125" style="18" customWidth="1"/>
    <col min="9989" max="9989" width="2" style="18" customWidth="1"/>
    <col min="9990" max="9990" width="12.53125" style="18" customWidth="1"/>
    <col min="9991" max="9991" width="1.86328125" style="18" customWidth="1"/>
    <col min="9992" max="9992" width="2" style="18" customWidth="1"/>
    <col min="9993" max="9993" width="16" style="18" customWidth="1"/>
    <col min="9994" max="9994" width="26" style="18" customWidth="1"/>
    <col min="9995" max="9995" width="9" style="18"/>
    <col min="9996" max="9996" width="9" style="18" customWidth="1"/>
    <col min="9997" max="10243" width="9" style="18"/>
    <col min="10244" max="10244" width="9.86328125" style="18" customWidth="1"/>
    <col min="10245" max="10245" width="2" style="18" customWidth="1"/>
    <col min="10246" max="10246" width="12.53125" style="18" customWidth="1"/>
    <col min="10247" max="10247" width="1.86328125" style="18" customWidth="1"/>
    <col min="10248" max="10248" width="2" style="18" customWidth="1"/>
    <col min="10249" max="10249" width="16" style="18" customWidth="1"/>
    <col min="10250" max="10250" width="26" style="18" customWidth="1"/>
    <col min="10251" max="10251" width="9" style="18"/>
    <col min="10252" max="10252" width="9" style="18" customWidth="1"/>
    <col min="10253" max="10499" width="9" style="18"/>
    <col min="10500" max="10500" width="9.86328125" style="18" customWidth="1"/>
    <col min="10501" max="10501" width="2" style="18" customWidth="1"/>
    <col min="10502" max="10502" width="12.53125" style="18" customWidth="1"/>
    <col min="10503" max="10503" width="1.86328125" style="18" customWidth="1"/>
    <col min="10504" max="10504" width="2" style="18" customWidth="1"/>
    <col min="10505" max="10505" width="16" style="18" customWidth="1"/>
    <col min="10506" max="10506" width="26" style="18" customWidth="1"/>
    <col min="10507" max="10507" width="9" style="18"/>
    <col min="10508" max="10508" width="9" style="18" customWidth="1"/>
    <col min="10509" max="10755" width="9" style="18"/>
    <col min="10756" max="10756" width="9.86328125" style="18" customWidth="1"/>
    <col min="10757" max="10757" width="2" style="18" customWidth="1"/>
    <col min="10758" max="10758" width="12.53125" style="18" customWidth="1"/>
    <col min="10759" max="10759" width="1.86328125" style="18" customWidth="1"/>
    <col min="10760" max="10760" width="2" style="18" customWidth="1"/>
    <col min="10761" max="10761" width="16" style="18" customWidth="1"/>
    <col min="10762" max="10762" width="26" style="18" customWidth="1"/>
    <col min="10763" max="10763" width="9" style="18"/>
    <col min="10764" max="10764" width="9" style="18" customWidth="1"/>
    <col min="10765" max="11011" width="9" style="18"/>
    <col min="11012" max="11012" width="9.86328125" style="18" customWidth="1"/>
    <col min="11013" max="11013" width="2" style="18" customWidth="1"/>
    <col min="11014" max="11014" width="12.53125" style="18" customWidth="1"/>
    <col min="11015" max="11015" width="1.86328125" style="18" customWidth="1"/>
    <col min="11016" max="11016" width="2" style="18" customWidth="1"/>
    <col min="11017" max="11017" width="16" style="18" customWidth="1"/>
    <col min="11018" max="11018" width="26" style="18" customWidth="1"/>
    <col min="11019" max="11019" width="9" style="18"/>
    <col min="11020" max="11020" width="9" style="18" customWidth="1"/>
    <col min="11021" max="11267" width="9" style="18"/>
    <col min="11268" max="11268" width="9.86328125" style="18" customWidth="1"/>
    <col min="11269" max="11269" width="2" style="18" customWidth="1"/>
    <col min="11270" max="11270" width="12.53125" style="18" customWidth="1"/>
    <col min="11271" max="11271" width="1.86328125" style="18" customWidth="1"/>
    <col min="11272" max="11272" width="2" style="18" customWidth="1"/>
    <col min="11273" max="11273" width="16" style="18" customWidth="1"/>
    <col min="11274" max="11274" width="26" style="18" customWidth="1"/>
    <col min="11275" max="11275" width="9" style="18"/>
    <col min="11276" max="11276" width="9" style="18" customWidth="1"/>
    <col min="11277" max="11523" width="9" style="18"/>
    <col min="11524" max="11524" width="9.86328125" style="18" customWidth="1"/>
    <col min="11525" max="11525" width="2" style="18" customWidth="1"/>
    <col min="11526" max="11526" width="12.53125" style="18" customWidth="1"/>
    <col min="11527" max="11527" width="1.86328125" style="18" customWidth="1"/>
    <col min="11528" max="11528" width="2" style="18" customWidth="1"/>
    <col min="11529" max="11529" width="16" style="18" customWidth="1"/>
    <col min="11530" max="11530" width="26" style="18" customWidth="1"/>
    <col min="11531" max="11531" width="9" style="18"/>
    <col min="11532" max="11532" width="9" style="18" customWidth="1"/>
    <col min="11533" max="11779" width="9" style="18"/>
    <col min="11780" max="11780" width="9.86328125" style="18" customWidth="1"/>
    <col min="11781" max="11781" width="2" style="18" customWidth="1"/>
    <col min="11782" max="11782" width="12.53125" style="18" customWidth="1"/>
    <col min="11783" max="11783" width="1.86328125" style="18" customWidth="1"/>
    <col min="11784" max="11784" width="2" style="18" customWidth="1"/>
    <col min="11785" max="11785" width="16" style="18" customWidth="1"/>
    <col min="11786" max="11786" width="26" style="18" customWidth="1"/>
    <col min="11787" max="11787" width="9" style="18"/>
    <col min="11788" max="11788" width="9" style="18" customWidth="1"/>
    <col min="11789" max="12035" width="9" style="18"/>
    <col min="12036" max="12036" width="9.86328125" style="18" customWidth="1"/>
    <col min="12037" max="12037" width="2" style="18" customWidth="1"/>
    <col min="12038" max="12038" width="12.53125" style="18" customWidth="1"/>
    <col min="12039" max="12039" width="1.86328125" style="18" customWidth="1"/>
    <col min="12040" max="12040" width="2" style="18" customWidth="1"/>
    <col min="12041" max="12041" width="16" style="18" customWidth="1"/>
    <col min="12042" max="12042" width="26" style="18" customWidth="1"/>
    <col min="12043" max="12043" width="9" style="18"/>
    <col min="12044" max="12044" width="9" style="18" customWidth="1"/>
    <col min="12045" max="12291" width="9" style="18"/>
    <col min="12292" max="12292" width="9.86328125" style="18" customWidth="1"/>
    <col min="12293" max="12293" width="2" style="18" customWidth="1"/>
    <col min="12294" max="12294" width="12.53125" style="18" customWidth="1"/>
    <col min="12295" max="12295" width="1.86328125" style="18" customWidth="1"/>
    <col min="12296" max="12296" width="2" style="18" customWidth="1"/>
    <col min="12297" max="12297" width="16" style="18" customWidth="1"/>
    <col min="12298" max="12298" width="26" style="18" customWidth="1"/>
    <col min="12299" max="12299" width="9" style="18"/>
    <col min="12300" max="12300" width="9" style="18" customWidth="1"/>
    <col min="12301" max="12547" width="9" style="18"/>
    <col min="12548" max="12548" width="9.86328125" style="18" customWidth="1"/>
    <col min="12549" max="12549" width="2" style="18" customWidth="1"/>
    <col min="12550" max="12550" width="12.53125" style="18" customWidth="1"/>
    <col min="12551" max="12551" width="1.86328125" style="18" customWidth="1"/>
    <col min="12552" max="12552" width="2" style="18" customWidth="1"/>
    <col min="12553" max="12553" width="16" style="18" customWidth="1"/>
    <col min="12554" max="12554" width="26" style="18" customWidth="1"/>
    <col min="12555" max="12555" width="9" style="18"/>
    <col min="12556" max="12556" width="9" style="18" customWidth="1"/>
    <col min="12557" max="12803" width="9" style="18"/>
    <col min="12804" max="12804" width="9.86328125" style="18" customWidth="1"/>
    <col min="12805" max="12805" width="2" style="18" customWidth="1"/>
    <col min="12806" max="12806" width="12.53125" style="18" customWidth="1"/>
    <col min="12807" max="12807" width="1.86328125" style="18" customWidth="1"/>
    <col min="12808" max="12808" width="2" style="18" customWidth="1"/>
    <col min="12809" max="12809" width="16" style="18" customWidth="1"/>
    <col min="12810" max="12810" width="26" style="18" customWidth="1"/>
    <col min="12811" max="12811" width="9" style="18"/>
    <col min="12812" max="12812" width="9" style="18" customWidth="1"/>
    <col min="12813" max="13059" width="9" style="18"/>
    <col min="13060" max="13060" width="9.86328125" style="18" customWidth="1"/>
    <col min="13061" max="13061" width="2" style="18" customWidth="1"/>
    <col min="13062" max="13062" width="12.53125" style="18" customWidth="1"/>
    <col min="13063" max="13063" width="1.86328125" style="18" customWidth="1"/>
    <col min="13064" max="13064" width="2" style="18" customWidth="1"/>
    <col min="13065" max="13065" width="16" style="18" customWidth="1"/>
    <col min="13066" max="13066" width="26" style="18" customWidth="1"/>
    <col min="13067" max="13067" width="9" style="18"/>
    <col min="13068" max="13068" width="9" style="18" customWidth="1"/>
    <col min="13069" max="13315" width="9" style="18"/>
    <col min="13316" max="13316" width="9.86328125" style="18" customWidth="1"/>
    <col min="13317" max="13317" width="2" style="18" customWidth="1"/>
    <col min="13318" max="13318" width="12.53125" style="18" customWidth="1"/>
    <col min="13319" max="13319" width="1.86328125" style="18" customWidth="1"/>
    <col min="13320" max="13320" width="2" style="18" customWidth="1"/>
    <col min="13321" max="13321" width="16" style="18" customWidth="1"/>
    <col min="13322" max="13322" width="26" style="18" customWidth="1"/>
    <col min="13323" max="13323" width="9" style="18"/>
    <col min="13324" max="13324" width="9" style="18" customWidth="1"/>
    <col min="13325" max="13571" width="9" style="18"/>
    <col min="13572" max="13572" width="9.86328125" style="18" customWidth="1"/>
    <col min="13573" max="13573" width="2" style="18" customWidth="1"/>
    <col min="13574" max="13574" width="12.53125" style="18" customWidth="1"/>
    <col min="13575" max="13575" width="1.86328125" style="18" customWidth="1"/>
    <col min="13576" max="13576" width="2" style="18" customWidth="1"/>
    <col min="13577" max="13577" width="16" style="18" customWidth="1"/>
    <col min="13578" max="13578" width="26" style="18" customWidth="1"/>
    <col min="13579" max="13579" width="9" style="18"/>
    <col min="13580" max="13580" width="9" style="18" customWidth="1"/>
    <col min="13581" max="13827" width="9" style="18"/>
    <col min="13828" max="13828" width="9.86328125" style="18" customWidth="1"/>
    <col min="13829" max="13829" width="2" style="18" customWidth="1"/>
    <col min="13830" max="13830" width="12.53125" style="18" customWidth="1"/>
    <col min="13831" max="13831" width="1.86328125" style="18" customWidth="1"/>
    <col min="13832" max="13832" width="2" style="18" customWidth="1"/>
    <col min="13833" max="13833" width="16" style="18" customWidth="1"/>
    <col min="13834" max="13834" width="26" style="18" customWidth="1"/>
    <col min="13835" max="13835" width="9" style="18"/>
    <col min="13836" max="13836" width="9" style="18" customWidth="1"/>
    <col min="13837" max="14083" width="9" style="18"/>
    <col min="14084" max="14084" width="9.86328125" style="18" customWidth="1"/>
    <col min="14085" max="14085" width="2" style="18" customWidth="1"/>
    <col min="14086" max="14086" width="12.53125" style="18" customWidth="1"/>
    <col min="14087" max="14087" width="1.86328125" style="18" customWidth="1"/>
    <col min="14088" max="14088" width="2" style="18" customWidth="1"/>
    <col min="14089" max="14089" width="16" style="18" customWidth="1"/>
    <col min="14090" max="14090" width="26" style="18" customWidth="1"/>
    <col min="14091" max="14091" width="9" style="18"/>
    <col min="14092" max="14092" width="9" style="18" customWidth="1"/>
    <col min="14093" max="14339" width="9" style="18"/>
    <col min="14340" max="14340" width="9.86328125" style="18" customWidth="1"/>
    <col min="14341" max="14341" width="2" style="18" customWidth="1"/>
    <col min="14342" max="14342" width="12.53125" style="18" customWidth="1"/>
    <col min="14343" max="14343" width="1.86328125" style="18" customWidth="1"/>
    <col min="14344" max="14344" width="2" style="18" customWidth="1"/>
    <col min="14345" max="14345" width="16" style="18" customWidth="1"/>
    <col min="14346" max="14346" width="26" style="18" customWidth="1"/>
    <col min="14347" max="14347" width="9" style="18"/>
    <col min="14348" max="14348" width="9" style="18" customWidth="1"/>
    <col min="14349" max="14595" width="9" style="18"/>
    <col min="14596" max="14596" width="9.86328125" style="18" customWidth="1"/>
    <col min="14597" max="14597" width="2" style="18" customWidth="1"/>
    <col min="14598" max="14598" width="12.53125" style="18" customWidth="1"/>
    <col min="14599" max="14599" width="1.86328125" style="18" customWidth="1"/>
    <col min="14600" max="14600" width="2" style="18" customWidth="1"/>
    <col min="14601" max="14601" width="16" style="18" customWidth="1"/>
    <col min="14602" max="14602" width="26" style="18" customWidth="1"/>
    <col min="14603" max="14603" width="9" style="18"/>
    <col min="14604" max="14604" width="9" style="18" customWidth="1"/>
    <col min="14605" max="14851" width="9" style="18"/>
    <col min="14852" max="14852" width="9.86328125" style="18" customWidth="1"/>
    <col min="14853" max="14853" width="2" style="18" customWidth="1"/>
    <col min="14854" max="14854" width="12.53125" style="18" customWidth="1"/>
    <col min="14855" max="14855" width="1.86328125" style="18" customWidth="1"/>
    <col min="14856" max="14856" width="2" style="18" customWidth="1"/>
    <col min="14857" max="14857" width="16" style="18" customWidth="1"/>
    <col min="14858" max="14858" width="26" style="18" customWidth="1"/>
    <col min="14859" max="14859" width="9" style="18"/>
    <col min="14860" max="14860" width="9" style="18" customWidth="1"/>
    <col min="14861" max="15107" width="9" style="18"/>
    <col min="15108" max="15108" width="9.86328125" style="18" customWidth="1"/>
    <col min="15109" max="15109" width="2" style="18" customWidth="1"/>
    <col min="15110" max="15110" width="12.53125" style="18" customWidth="1"/>
    <col min="15111" max="15111" width="1.86328125" style="18" customWidth="1"/>
    <col min="15112" max="15112" width="2" style="18" customWidth="1"/>
    <col min="15113" max="15113" width="16" style="18" customWidth="1"/>
    <col min="15114" max="15114" width="26" style="18" customWidth="1"/>
    <col min="15115" max="15115" width="9" style="18"/>
    <col min="15116" max="15116" width="9" style="18" customWidth="1"/>
    <col min="15117" max="15363" width="9" style="18"/>
    <col min="15364" max="15364" width="9.86328125" style="18" customWidth="1"/>
    <col min="15365" max="15365" width="2" style="18" customWidth="1"/>
    <col min="15366" max="15366" width="12.53125" style="18" customWidth="1"/>
    <col min="15367" max="15367" width="1.86328125" style="18" customWidth="1"/>
    <col min="15368" max="15368" width="2" style="18" customWidth="1"/>
    <col min="15369" max="15369" width="16" style="18" customWidth="1"/>
    <col min="15370" max="15370" width="26" style="18" customWidth="1"/>
    <col min="15371" max="15371" width="9" style="18"/>
    <col min="15372" max="15372" width="9" style="18" customWidth="1"/>
    <col min="15373" max="15619" width="9" style="18"/>
    <col min="15620" max="15620" width="9.86328125" style="18" customWidth="1"/>
    <col min="15621" max="15621" width="2" style="18" customWidth="1"/>
    <col min="15622" max="15622" width="12.53125" style="18" customWidth="1"/>
    <col min="15623" max="15623" width="1.86328125" style="18" customWidth="1"/>
    <col min="15624" max="15624" width="2" style="18" customWidth="1"/>
    <col min="15625" max="15625" width="16" style="18" customWidth="1"/>
    <col min="15626" max="15626" width="26" style="18" customWidth="1"/>
    <col min="15627" max="15627" width="9" style="18"/>
    <col min="15628" max="15628" width="9" style="18" customWidth="1"/>
    <col min="15629" max="15875" width="9" style="18"/>
    <col min="15876" max="15876" width="9.86328125" style="18" customWidth="1"/>
    <col min="15877" max="15877" width="2" style="18" customWidth="1"/>
    <col min="15878" max="15878" width="12.53125" style="18" customWidth="1"/>
    <col min="15879" max="15879" width="1.86328125" style="18" customWidth="1"/>
    <col min="15880" max="15880" width="2" style="18" customWidth="1"/>
    <col min="15881" max="15881" width="16" style="18" customWidth="1"/>
    <col min="15882" max="15882" width="26" style="18" customWidth="1"/>
    <col min="15883" max="15883" width="9" style="18"/>
    <col min="15884" max="15884" width="9" style="18" customWidth="1"/>
    <col min="15885" max="16131" width="9" style="18"/>
    <col min="16132" max="16132" width="9.86328125" style="18" customWidth="1"/>
    <col min="16133" max="16133" width="2" style="18" customWidth="1"/>
    <col min="16134" max="16134" width="12.53125" style="18" customWidth="1"/>
    <col min="16135" max="16135" width="1.86328125" style="18" customWidth="1"/>
    <col min="16136" max="16136" width="2" style="18" customWidth="1"/>
    <col min="16137" max="16137" width="16" style="18" customWidth="1"/>
    <col min="16138" max="16138" width="26" style="18" customWidth="1"/>
    <col min="16139" max="16139" width="9" style="18"/>
    <col min="16140" max="16140" width="9" style="18" customWidth="1"/>
    <col min="16141" max="16384" width="9" style="18"/>
  </cols>
  <sheetData>
    <row r="1" spans="1:14" ht="17.25">
      <c r="D1" s="866" t="str">
        <f>UPPER(opd_pem)</f>
        <v>PEMERINTAH PROVINSI NUSA TENGGARA BARAT</v>
      </c>
      <c r="E1" s="866"/>
      <c r="F1" s="866"/>
      <c r="G1" s="866"/>
      <c r="H1" s="866"/>
      <c r="I1" s="866"/>
      <c r="J1" s="866"/>
      <c r="K1" s="866"/>
      <c r="L1" s="866"/>
    </row>
    <row r="2" spans="1:14" ht="42.3" customHeight="1">
      <c r="D2" s="934" t="str">
        <f>UPPER(opd_nama)</f>
        <v>BADAN PENGELOLAAN KEUANGAN DAN ASET DAERAH</v>
      </c>
      <c r="E2" s="934"/>
      <c r="F2" s="934"/>
      <c r="G2" s="934"/>
      <c r="H2" s="934"/>
      <c r="I2" s="934"/>
      <c r="J2" s="934"/>
      <c r="K2" s="934"/>
      <c r="L2" s="934"/>
    </row>
    <row r="3" spans="1:14" ht="17.850000000000001" customHeight="1">
      <c r="A3" s="24"/>
      <c r="B3" s="24"/>
      <c r="C3" s="24"/>
      <c r="D3" s="868" t="str">
        <f>opd_almt</f>
        <v>Jalan Pejanggik Nomor 14 Telp.( 0370 ) 627689, 625345 Fax: 627677</v>
      </c>
      <c r="E3" s="868"/>
      <c r="F3" s="868"/>
      <c r="G3" s="868"/>
      <c r="H3" s="868"/>
      <c r="I3" s="868"/>
      <c r="J3" s="868"/>
      <c r="K3" s="868"/>
      <c r="L3" s="868"/>
    </row>
    <row r="4" spans="1:14" ht="5.25" customHeight="1"/>
    <row r="5" spans="1:14" ht="15" customHeight="1">
      <c r="A5" s="27"/>
      <c r="B5" s="27"/>
      <c r="C5" s="27"/>
      <c r="D5" s="27"/>
      <c r="E5" s="27"/>
      <c r="F5" s="27"/>
      <c r="G5" s="27"/>
      <c r="H5" s="27"/>
      <c r="I5" s="27"/>
      <c r="J5" s="27"/>
      <c r="K5" s="27"/>
      <c r="L5" s="72" t="str">
        <f>ppk_lok&amp;", "&amp;TEXT(Input!$F$76,"[$-421]d mmmm yyyy")</f>
        <v>Mataram, 6 Oktober 2025</v>
      </c>
    </row>
    <row r="6" spans="1:14" ht="15" customHeight="1">
      <c r="A6" s="60" t="s">
        <v>237</v>
      </c>
      <c r="B6" s="60"/>
      <c r="C6" s="60" t="s">
        <v>2</v>
      </c>
      <c r="D6" s="60" t="str">
        <f>Input!D105</f>
        <v>013/CDE/A/IX/741c/2023</v>
      </c>
      <c r="E6" s="60"/>
      <c r="F6" s="60"/>
      <c r="G6" s="60"/>
      <c r="H6" s="60"/>
      <c r="I6" s="60"/>
      <c r="J6" s="60" t="s">
        <v>848</v>
      </c>
      <c r="K6" s="60"/>
      <c r="L6" s="60"/>
      <c r="M6" s="60"/>
      <c r="N6" s="129" t="s">
        <v>253</v>
      </c>
    </row>
    <row r="7" spans="1:14" ht="15" customHeight="1">
      <c r="A7" s="37" t="s">
        <v>267</v>
      </c>
      <c r="B7" s="37"/>
      <c r="C7" s="37" t="s">
        <v>2</v>
      </c>
      <c r="D7" s="796" t="s">
        <v>847</v>
      </c>
      <c r="E7" s="37"/>
      <c r="F7" s="37"/>
      <c r="G7" s="37"/>
      <c r="H7" s="37"/>
      <c r="I7" s="37"/>
      <c r="J7" s="1148" t="str">
        <f>php_jab</f>
        <v>Pejabat Pemeriksa Hasil Pekerjaan</v>
      </c>
      <c r="K7" s="1148"/>
      <c r="L7" s="1148"/>
      <c r="M7" s="56"/>
    </row>
    <row r="8" spans="1:14" ht="15" customHeight="1">
      <c r="A8" s="60" t="s">
        <v>269</v>
      </c>
      <c r="B8" s="60"/>
      <c r="C8" s="60" t="s">
        <v>2</v>
      </c>
      <c r="D8" s="1089" t="str">
        <f>"Pelaksanaan Serah Terima Pekerjaan "&amp;paket</f>
        <v>Pelaksanaan Serah Terima Pekerjaan Belanja Pemeliharaan Bangunan Gedung-Bangunan Gedung Tempat Kerja-Bangunan Gedung Kantor-Pemeliharaan Gedung Bertingkat</v>
      </c>
      <c r="E8" s="1089"/>
      <c r="F8" s="1089"/>
      <c r="G8" s="1089"/>
      <c r="H8" s="75"/>
      <c r="I8" s="60"/>
      <c r="J8" s="1148"/>
      <c r="K8" s="1148"/>
      <c r="L8" s="1148"/>
      <c r="M8" s="56"/>
    </row>
    <row r="9" spans="1:14" ht="15" customHeight="1">
      <c r="A9" s="60"/>
      <c r="B9" s="60"/>
      <c r="C9" s="60"/>
      <c r="D9" s="1089"/>
      <c r="E9" s="1089"/>
      <c r="F9" s="1089"/>
      <c r="G9" s="1089"/>
      <c r="H9" s="75"/>
      <c r="I9" s="60"/>
      <c r="J9" s="60" t="s">
        <v>849</v>
      </c>
      <c r="K9" s="60"/>
      <c r="L9" s="60"/>
      <c r="M9" s="60"/>
    </row>
    <row r="10" spans="1:14" ht="15" customHeight="1">
      <c r="D10" s="1089"/>
      <c r="E10" s="1089"/>
      <c r="F10" s="1089"/>
      <c r="G10" s="1089"/>
      <c r="H10" s="75"/>
      <c r="I10" s="60"/>
      <c r="J10" s="60" t="str">
        <f>"         "&amp;php_lok</f>
        <v xml:space="preserve">         Mataram</v>
      </c>
      <c r="L10" s="60"/>
      <c r="M10" s="60"/>
    </row>
    <row r="11" spans="1:14" ht="15" customHeight="1"/>
    <row r="12" spans="1:14" ht="15" customHeight="1">
      <c r="D12" s="1021" t="str">
        <f>"Sehubungan dengan surat "&amp;ppk_jab&amp;" nomor "&amp;Input!$D$104&amp;" tanggal "&amp;Input!$H$104&amp;" perihal "&amp;PPK.B!$D$241&amp;" dengan Kontrak nomor "&amp;Input!$D$91&amp;" tanggal "&amp;Input!$H$91&amp;", maka dengan ini "&amp;php_jab&amp;" dapat melaksanakan :"</f>
        <v>Sehubungan dengan surat Pejabat Pembuat Komitmen nomor 027.3/17/BAPH/BPKAD/2024 tanggal 2 September 2023 perihal Penyerahan Hasil Pekerjaan Belanja Pemeliharaan Bangunan Gedung-Bangunan Gedung Tempat Kerja-Bangunan Gedung Kantor-Pemeliharaan Gedung Bertingkat dengan Kontrak nomor 027.1/1/SPK/BPKAD/2025 tanggal 3 Agustus 2023, maka dengan ini Pejabat Pemeriksa Hasil Pekerjaan dapat melaksanakan :</v>
      </c>
      <c r="E12" s="1021"/>
      <c r="F12" s="1021"/>
      <c r="G12" s="1021"/>
      <c r="H12" s="1021"/>
      <c r="I12" s="1021"/>
      <c r="J12" s="1021"/>
      <c r="K12" s="1021"/>
      <c r="L12" s="1021"/>
    </row>
    <row r="13" spans="1:14" ht="15" customHeight="1">
      <c r="D13" s="1021"/>
      <c r="E13" s="1021"/>
      <c r="F13" s="1021"/>
      <c r="G13" s="1021"/>
      <c r="H13" s="1021"/>
      <c r="I13" s="1021"/>
      <c r="J13" s="1021"/>
      <c r="K13" s="1021"/>
      <c r="L13" s="1021"/>
    </row>
    <row r="14" spans="1:14" ht="15" customHeight="1">
      <c r="D14" s="1021"/>
      <c r="E14" s="1021"/>
      <c r="F14" s="1021"/>
      <c r="G14" s="1021"/>
      <c r="H14" s="1021"/>
      <c r="I14" s="1021"/>
      <c r="J14" s="1021"/>
      <c r="K14" s="1021"/>
      <c r="L14" s="1021"/>
    </row>
    <row r="15" spans="1:14" ht="15" customHeight="1">
      <c r="D15" s="1021"/>
      <c r="E15" s="1021"/>
      <c r="F15" s="1021"/>
      <c r="G15" s="1021"/>
      <c r="H15" s="1021"/>
      <c r="I15" s="1021"/>
      <c r="J15" s="1021"/>
      <c r="K15" s="1021"/>
      <c r="L15" s="1021"/>
    </row>
    <row r="16" spans="1:14" ht="15" customHeight="1">
      <c r="C16" s="43"/>
      <c r="D16" s="822" t="s">
        <v>419</v>
      </c>
      <c r="E16" s="1148" t="s">
        <v>1191</v>
      </c>
      <c r="F16" s="1148"/>
      <c r="G16" s="1148"/>
      <c r="H16" s="1148"/>
      <c r="I16" s="1148"/>
      <c r="J16" s="1148"/>
      <c r="K16" s="1148"/>
      <c r="L16" s="1148"/>
    </row>
    <row r="17" spans="3:13" ht="15" customHeight="1">
      <c r="C17" s="43"/>
      <c r="D17" s="43"/>
      <c r="E17" s="1148"/>
      <c r="F17" s="1148"/>
      <c r="G17" s="1148"/>
      <c r="H17" s="1148"/>
      <c r="I17" s="1148"/>
      <c r="J17" s="1148"/>
      <c r="K17" s="1148"/>
      <c r="L17" s="1148"/>
    </row>
    <row r="18" spans="3:13" ht="15" customHeight="1">
      <c r="C18" s="43"/>
      <c r="D18" s="43"/>
      <c r="E18" s="1148"/>
      <c r="F18" s="1148"/>
      <c r="G18" s="1148"/>
      <c r="H18" s="1148"/>
      <c r="I18" s="1148"/>
      <c r="J18" s="1148"/>
      <c r="K18" s="1148"/>
      <c r="L18" s="1148"/>
    </row>
    <row r="19" spans="3:13" ht="15" customHeight="1">
      <c r="C19" s="43"/>
      <c r="D19" s="43"/>
      <c r="E19" s="1148"/>
      <c r="F19" s="1148"/>
      <c r="G19" s="1148"/>
      <c r="H19" s="1148"/>
      <c r="I19" s="1148"/>
      <c r="J19" s="1148"/>
      <c r="K19" s="1148"/>
      <c r="L19" s="1148"/>
    </row>
    <row r="20" spans="3:13" ht="15" customHeight="1">
      <c r="C20" s="43"/>
      <c r="D20" s="43"/>
      <c r="E20" s="1148"/>
      <c r="F20" s="1148"/>
      <c r="G20" s="1148"/>
      <c r="H20" s="1148"/>
      <c r="I20" s="1148"/>
      <c r="J20" s="1148"/>
      <c r="K20" s="1148"/>
      <c r="L20" s="1148"/>
    </row>
    <row r="21" spans="3:13" ht="15" customHeight="1">
      <c r="C21" s="43"/>
      <c r="D21" s="43"/>
      <c r="E21" s="1148"/>
      <c r="F21" s="1148"/>
      <c r="G21" s="1148"/>
      <c r="H21" s="1148"/>
      <c r="I21" s="1148"/>
      <c r="J21" s="1148"/>
      <c r="K21" s="1148"/>
      <c r="L21" s="1148"/>
    </row>
    <row r="22" spans="3:13" ht="15" customHeight="1">
      <c r="C22" s="43"/>
      <c r="D22" s="822" t="s">
        <v>422</v>
      </c>
      <c r="E22" s="37" t="s">
        <v>1192</v>
      </c>
      <c r="F22" s="56"/>
      <c r="G22" s="56"/>
      <c r="H22" s="56"/>
      <c r="I22" s="56"/>
      <c r="J22" s="56"/>
      <c r="K22" s="56"/>
      <c r="L22" s="56"/>
    </row>
    <row r="23" spans="3:13" ht="15" customHeight="1">
      <c r="C23" s="43"/>
      <c r="D23" s="43"/>
      <c r="G23" s="44"/>
      <c r="H23" s="44"/>
      <c r="I23" s="44"/>
      <c r="J23" s="53"/>
      <c r="K23" s="53"/>
    </row>
    <row r="24" spans="3:13" ht="15" customHeight="1">
      <c r="C24" s="38"/>
      <c r="D24" s="60" t="s">
        <v>264</v>
      </c>
      <c r="E24" s="37"/>
      <c r="F24" s="37"/>
      <c r="G24" s="37"/>
      <c r="H24" s="37"/>
      <c r="I24" s="37"/>
      <c r="J24" s="37"/>
      <c r="K24" s="37"/>
    </row>
    <row r="25" spans="3:13" ht="15" customHeight="1">
      <c r="C25" s="38"/>
      <c r="D25" s="37"/>
      <c r="E25" s="37"/>
      <c r="F25" s="37"/>
      <c r="G25" s="37"/>
      <c r="H25" s="37"/>
      <c r="I25" s="37"/>
      <c r="J25" s="37"/>
      <c r="K25" s="37"/>
    </row>
    <row r="26" spans="3:13" ht="15" customHeight="1">
      <c r="C26" s="43"/>
      <c r="D26" s="43"/>
      <c r="G26" s="54"/>
      <c r="H26" s="54"/>
      <c r="I26" s="54"/>
      <c r="J26" s="67" t="str">
        <f>pa_jab</f>
        <v>Kepala Badan Pengelolaan Keuangan dan Aset Daerah</v>
      </c>
      <c r="K26" s="53"/>
    </row>
    <row r="27" spans="3:13" ht="15" customHeight="1">
      <c r="C27" s="43"/>
      <c r="D27" s="43"/>
      <c r="I27" s="67"/>
      <c r="J27" s="54" t="str">
        <f>"selaku "&amp;pa_sku</f>
        <v>selaku Pengguna Anggaran</v>
      </c>
      <c r="K27" s="53"/>
      <c r="L27" s="53"/>
    </row>
    <row r="28" spans="3:13" ht="15" customHeight="1">
      <c r="C28" s="43"/>
      <c r="D28" s="43"/>
      <c r="I28" s="54"/>
      <c r="J28" s="44"/>
      <c r="K28" s="53"/>
      <c r="L28" s="53"/>
    </row>
    <row r="29" spans="3:13" ht="15" customHeight="1">
      <c r="C29" s="43"/>
      <c r="D29" s="43"/>
      <c r="I29" s="44"/>
      <c r="J29" s="44"/>
      <c r="K29" s="53"/>
      <c r="L29" s="53"/>
    </row>
    <row r="30" spans="3:13" ht="15" customHeight="1">
      <c r="C30" s="43"/>
      <c r="D30" s="43"/>
      <c r="I30" s="44"/>
      <c r="J30" s="44"/>
      <c r="K30" s="53"/>
      <c r="L30" s="53"/>
    </row>
    <row r="31" spans="3:13" ht="15" customHeight="1">
      <c r="C31" s="43"/>
      <c r="D31" s="43"/>
      <c r="I31" s="55"/>
      <c r="J31" s="55" t="str">
        <f>pa_nam</f>
        <v>Dr. H. Nursalim., S.Sos., M.M</v>
      </c>
      <c r="K31" s="53"/>
      <c r="L31" s="53"/>
    </row>
    <row r="32" spans="3:13" ht="15" customHeight="1">
      <c r="C32" s="43"/>
      <c r="D32" s="43"/>
      <c r="J32" s="54" t="str">
        <f>pa_gol2&amp;" ("&amp;pa_gol&amp;")"</f>
        <v>Pembina Utama Muda (IV/c)</v>
      </c>
      <c r="K32" s="55"/>
      <c r="L32" s="53"/>
      <c r="M32" s="53"/>
    </row>
    <row r="33" spans="1:12" ht="15" customHeight="1">
      <c r="C33" s="43"/>
      <c r="D33" s="43"/>
      <c r="I33" s="44"/>
      <c r="J33" s="44" t="str">
        <f>"NIP. "&amp;pa_nip</f>
        <v>NIP. 19721231 199402 1 009</v>
      </c>
      <c r="K33" s="53"/>
      <c r="L33" s="53"/>
    </row>
    <row r="34" spans="1:12" ht="15" customHeight="1">
      <c r="A34" s="37" t="s">
        <v>265</v>
      </c>
      <c r="B34" s="37"/>
      <c r="C34" s="38"/>
      <c r="D34" s="38"/>
      <c r="E34" s="37"/>
      <c r="F34" s="37"/>
      <c r="G34" s="37"/>
      <c r="H34" s="37"/>
      <c r="I34" s="37"/>
      <c r="J34" s="37"/>
      <c r="K34" s="37"/>
      <c r="L34" s="37"/>
    </row>
    <row r="35" spans="1:12" ht="15" customHeight="1">
      <c r="A35" s="796" t="str">
        <f>"1. "&amp;ppk_jab&amp;" di "&amp;ppk_lok&amp;";"</f>
        <v>1. Pejabat Pembuat Komitmen di Mataram;</v>
      </c>
      <c r="B35" s="37"/>
      <c r="C35" s="38"/>
      <c r="D35" s="38"/>
      <c r="E35" s="37"/>
      <c r="F35" s="37"/>
      <c r="G35" s="37"/>
      <c r="H35" s="37"/>
      <c r="I35" s="39"/>
      <c r="J35" s="39"/>
      <c r="K35" s="37"/>
      <c r="L35" s="37"/>
    </row>
    <row r="36" spans="1:12" ht="15" customHeight="1">
      <c r="A36" s="37" t="str">
        <f>"2. Pejabat Pelaksana Teknis Kegiatan di "&amp;pa_lok&amp;";"</f>
        <v>2. Pejabat Pelaksana Teknis Kegiatan di Mataram;</v>
      </c>
      <c r="B36" s="37"/>
      <c r="C36" s="38"/>
      <c r="D36" s="38"/>
      <c r="E36" s="37"/>
      <c r="F36" s="37"/>
      <c r="G36" s="37"/>
      <c r="H36" s="37"/>
      <c r="I36" s="37"/>
      <c r="J36" s="37"/>
      <c r="K36" s="37"/>
      <c r="L36" s="37"/>
    </row>
    <row r="37" spans="1:12" ht="15" customHeight="1">
      <c r="A37" s="796" t="s">
        <v>1193</v>
      </c>
      <c r="C37" s="43"/>
      <c r="D37" s="43"/>
      <c r="I37" s="44"/>
      <c r="J37" s="44"/>
      <c r="K37" s="53"/>
      <c r="L37" s="53"/>
    </row>
    <row r="38" spans="1:12" ht="15" customHeight="1">
      <c r="C38" s="43"/>
      <c r="D38" s="43"/>
      <c r="I38" s="44"/>
      <c r="J38" s="44"/>
      <c r="K38" s="53"/>
      <c r="L38" s="53"/>
    </row>
  </sheetData>
  <mergeCells count="7">
    <mergeCell ref="D1:L1"/>
    <mergeCell ref="D2:L2"/>
    <mergeCell ref="D3:L3"/>
    <mergeCell ref="D12:L15"/>
    <mergeCell ref="E16:L21"/>
    <mergeCell ref="J7:L8"/>
    <mergeCell ref="D8:G10"/>
  </mergeCells>
  <hyperlinks>
    <hyperlink ref="N6" location="Input!A72" display="balik ke input" xr:uid="{00000000-0004-0000-1200-000000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colBreaks count="1" manualBreakCount="1">
    <brk id="12" max="71"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rgb="FFFFC000"/>
  </sheetPr>
  <dimension ref="A1:L114"/>
  <sheetViews>
    <sheetView view="pageBreakPreview" zoomScale="115" zoomScaleNormal="100" zoomScaleSheetLayoutView="115" workbookViewId="0">
      <selection activeCell="A9" sqref="A9:J13"/>
    </sheetView>
  </sheetViews>
  <sheetFormatPr defaultColWidth="9" defaultRowHeight="14.25"/>
  <cols>
    <col min="1" max="2" width="3.6640625" style="18" customWidth="1"/>
    <col min="3" max="3" width="4.46484375" style="18" customWidth="1"/>
    <col min="4" max="4" width="5.19921875" style="18" customWidth="1"/>
    <col min="5" max="5" width="1.86328125" style="18" customWidth="1"/>
    <col min="6" max="6" width="2.86328125" style="18" customWidth="1"/>
    <col min="7" max="7" width="32.53125" style="18" customWidth="1"/>
    <col min="8" max="8" width="3" style="18" customWidth="1"/>
    <col min="9" max="9" width="15" style="18" customWidth="1"/>
    <col min="10" max="10" width="16" style="18" customWidth="1"/>
    <col min="11" max="11" width="9" style="18" customWidth="1"/>
    <col min="12" max="257" width="9" style="18"/>
    <col min="258" max="258" width="9.86328125" style="18" customWidth="1"/>
    <col min="259" max="259" width="2" style="18" customWidth="1"/>
    <col min="260" max="260" width="12.53125" style="18" customWidth="1"/>
    <col min="261" max="261" width="1.86328125" style="18" customWidth="1"/>
    <col min="262" max="262" width="2" style="18" customWidth="1"/>
    <col min="263" max="263" width="16" style="18" customWidth="1"/>
    <col min="264" max="264" width="26" style="18" customWidth="1"/>
    <col min="265" max="265" width="9" style="18"/>
    <col min="266" max="266" width="9" style="18" customWidth="1"/>
    <col min="267" max="513" width="9" style="18"/>
    <col min="514" max="514" width="9.86328125" style="18" customWidth="1"/>
    <col min="515" max="515" width="2" style="18" customWidth="1"/>
    <col min="516" max="516" width="12.53125" style="18" customWidth="1"/>
    <col min="517" max="517" width="1.86328125" style="18" customWidth="1"/>
    <col min="518" max="518" width="2" style="18" customWidth="1"/>
    <col min="519" max="519" width="16" style="18" customWidth="1"/>
    <col min="520" max="520" width="26" style="18" customWidth="1"/>
    <col min="521" max="521" width="9" style="18"/>
    <col min="522" max="522" width="9" style="18" customWidth="1"/>
    <col min="523" max="769" width="9" style="18"/>
    <col min="770" max="770" width="9.86328125" style="18" customWidth="1"/>
    <col min="771" max="771" width="2" style="18" customWidth="1"/>
    <col min="772" max="772" width="12.53125" style="18" customWidth="1"/>
    <col min="773" max="773" width="1.86328125" style="18" customWidth="1"/>
    <col min="774" max="774" width="2" style="18" customWidth="1"/>
    <col min="775" max="775" width="16" style="18" customWidth="1"/>
    <col min="776" max="776" width="26" style="18" customWidth="1"/>
    <col min="777" max="777" width="9" style="18"/>
    <col min="778" max="778" width="9" style="18" customWidth="1"/>
    <col min="779" max="1025" width="9" style="18"/>
    <col min="1026" max="1026" width="9.86328125" style="18" customWidth="1"/>
    <col min="1027" max="1027" width="2" style="18" customWidth="1"/>
    <col min="1028" max="1028" width="12.53125" style="18" customWidth="1"/>
    <col min="1029" max="1029" width="1.86328125" style="18" customWidth="1"/>
    <col min="1030" max="1030" width="2" style="18" customWidth="1"/>
    <col min="1031" max="1031" width="16" style="18" customWidth="1"/>
    <col min="1032" max="1032" width="26" style="18" customWidth="1"/>
    <col min="1033" max="1033" width="9" style="18"/>
    <col min="1034" max="1034" width="9" style="18" customWidth="1"/>
    <col min="1035" max="1281" width="9" style="18"/>
    <col min="1282" max="1282" width="9.86328125" style="18" customWidth="1"/>
    <col min="1283" max="1283" width="2" style="18" customWidth="1"/>
    <col min="1284" max="1284" width="12.53125" style="18" customWidth="1"/>
    <col min="1285" max="1285" width="1.86328125" style="18" customWidth="1"/>
    <col min="1286" max="1286" width="2" style="18" customWidth="1"/>
    <col min="1287" max="1287" width="16" style="18" customWidth="1"/>
    <col min="1288" max="1288" width="26" style="18" customWidth="1"/>
    <col min="1289" max="1289" width="9" style="18"/>
    <col min="1290" max="1290" width="9" style="18" customWidth="1"/>
    <col min="1291" max="1537" width="9" style="18"/>
    <col min="1538" max="1538" width="9.86328125" style="18" customWidth="1"/>
    <col min="1539" max="1539" width="2" style="18" customWidth="1"/>
    <col min="1540" max="1540" width="12.53125" style="18" customWidth="1"/>
    <col min="1541" max="1541" width="1.86328125" style="18" customWidth="1"/>
    <col min="1542" max="1542" width="2" style="18" customWidth="1"/>
    <col min="1543" max="1543" width="16" style="18" customWidth="1"/>
    <col min="1544" max="1544" width="26" style="18" customWidth="1"/>
    <col min="1545" max="1545" width="9" style="18"/>
    <col min="1546" max="1546" width="9" style="18" customWidth="1"/>
    <col min="1547" max="1793" width="9" style="18"/>
    <col min="1794" max="1794" width="9.86328125" style="18" customWidth="1"/>
    <col min="1795" max="1795" width="2" style="18" customWidth="1"/>
    <col min="1796" max="1796" width="12.53125" style="18" customWidth="1"/>
    <col min="1797" max="1797" width="1.86328125" style="18" customWidth="1"/>
    <col min="1798" max="1798" width="2" style="18" customWidth="1"/>
    <col min="1799" max="1799" width="16" style="18" customWidth="1"/>
    <col min="1800" max="1800" width="26" style="18" customWidth="1"/>
    <col min="1801" max="1801" width="9" style="18"/>
    <col min="1802" max="1802" width="9" style="18" customWidth="1"/>
    <col min="1803" max="2049" width="9" style="18"/>
    <col min="2050" max="2050" width="9.86328125" style="18" customWidth="1"/>
    <col min="2051" max="2051" width="2" style="18" customWidth="1"/>
    <col min="2052" max="2052" width="12.53125" style="18" customWidth="1"/>
    <col min="2053" max="2053" width="1.86328125" style="18" customWidth="1"/>
    <col min="2054" max="2054" width="2" style="18" customWidth="1"/>
    <col min="2055" max="2055" width="16" style="18" customWidth="1"/>
    <col min="2056" max="2056" width="26" style="18" customWidth="1"/>
    <col min="2057" max="2057" width="9" style="18"/>
    <col min="2058" max="2058" width="9" style="18" customWidth="1"/>
    <col min="2059" max="2305" width="9" style="18"/>
    <col min="2306" max="2306" width="9.86328125" style="18" customWidth="1"/>
    <col min="2307" max="2307" width="2" style="18" customWidth="1"/>
    <col min="2308" max="2308" width="12.53125" style="18" customWidth="1"/>
    <col min="2309" max="2309" width="1.86328125" style="18" customWidth="1"/>
    <col min="2310" max="2310" width="2" style="18" customWidth="1"/>
    <col min="2311" max="2311" width="16" style="18" customWidth="1"/>
    <col min="2312" max="2312" width="26" style="18" customWidth="1"/>
    <col min="2313" max="2313" width="9" style="18"/>
    <col min="2314" max="2314" width="9" style="18" customWidth="1"/>
    <col min="2315" max="2561" width="9" style="18"/>
    <col min="2562" max="2562" width="9.86328125" style="18" customWidth="1"/>
    <col min="2563" max="2563" width="2" style="18" customWidth="1"/>
    <col min="2564" max="2564" width="12.53125" style="18" customWidth="1"/>
    <col min="2565" max="2565" width="1.86328125" style="18" customWidth="1"/>
    <col min="2566" max="2566" width="2" style="18" customWidth="1"/>
    <col min="2567" max="2567" width="16" style="18" customWidth="1"/>
    <col min="2568" max="2568" width="26" style="18" customWidth="1"/>
    <col min="2569" max="2569" width="9" style="18"/>
    <col min="2570" max="2570" width="9" style="18" customWidth="1"/>
    <col min="2571" max="2817" width="9" style="18"/>
    <col min="2818" max="2818" width="9.86328125" style="18" customWidth="1"/>
    <col min="2819" max="2819" width="2" style="18" customWidth="1"/>
    <col min="2820" max="2820" width="12.53125" style="18" customWidth="1"/>
    <col min="2821" max="2821" width="1.86328125" style="18" customWidth="1"/>
    <col min="2822" max="2822" width="2" style="18" customWidth="1"/>
    <col min="2823" max="2823" width="16" style="18" customWidth="1"/>
    <col min="2824" max="2824" width="26" style="18" customWidth="1"/>
    <col min="2825" max="2825" width="9" style="18"/>
    <col min="2826" max="2826" width="9" style="18" customWidth="1"/>
    <col min="2827" max="3073" width="9" style="18"/>
    <col min="3074" max="3074" width="9.86328125" style="18" customWidth="1"/>
    <col min="3075" max="3075" width="2" style="18" customWidth="1"/>
    <col min="3076" max="3076" width="12.53125" style="18" customWidth="1"/>
    <col min="3077" max="3077" width="1.86328125" style="18" customWidth="1"/>
    <col min="3078" max="3078" width="2" style="18" customWidth="1"/>
    <col min="3079" max="3079" width="16" style="18" customWidth="1"/>
    <col min="3080" max="3080" width="26" style="18" customWidth="1"/>
    <col min="3081" max="3081" width="9" style="18"/>
    <col min="3082" max="3082" width="9" style="18" customWidth="1"/>
    <col min="3083" max="3329" width="9" style="18"/>
    <col min="3330" max="3330" width="9.86328125" style="18" customWidth="1"/>
    <col min="3331" max="3331" width="2" style="18" customWidth="1"/>
    <col min="3332" max="3332" width="12.53125" style="18" customWidth="1"/>
    <col min="3333" max="3333" width="1.86328125" style="18" customWidth="1"/>
    <col min="3334" max="3334" width="2" style="18" customWidth="1"/>
    <col min="3335" max="3335" width="16" style="18" customWidth="1"/>
    <col min="3336" max="3336" width="26" style="18" customWidth="1"/>
    <col min="3337" max="3337" width="9" style="18"/>
    <col min="3338" max="3338" width="9" style="18" customWidth="1"/>
    <col min="3339" max="3585" width="9" style="18"/>
    <col min="3586" max="3586" width="9.86328125" style="18" customWidth="1"/>
    <col min="3587" max="3587" width="2" style="18" customWidth="1"/>
    <col min="3588" max="3588" width="12.53125" style="18" customWidth="1"/>
    <col min="3589" max="3589" width="1.86328125" style="18" customWidth="1"/>
    <col min="3590" max="3590" width="2" style="18" customWidth="1"/>
    <col min="3591" max="3591" width="16" style="18" customWidth="1"/>
    <col min="3592" max="3592" width="26" style="18" customWidth="1"/>
    <col min="3593" max="3593" width="9" style="18"/>
    <col min="3594" max="3594" width="9" style="18" customWidth="1"/>
    <col min="3595" max="3841" width="9" style="18"/>
    <col min="3842" max="3842" width="9.86328125" style="18" customWidth="1"/>
    <col min="3843" max="3843" width="2" style="18" customWidth="1"/>
    <col min="3844" max="3844" width="12.53125" style="18" customWidth="1"/>
    <col min="3845" max="3845" width="1.86328125" style="18" customWidth="1"/>
    <col min="3846" max="3846" width="2" style="18" customWidth="1"/>
    <col min="3847" max="3847" width="16" style="18" customWidth="1"/>
    <col min="3848" max="3848" width="26" style="18" customWidth="1"/>
    <col min="3849" max="3849" width="9" style="18"/>
    <col min="3850" max="3850" width="9" style="18" customWidth="1"/>
    <col min="3851" max="4097" width="9" style="18"/>
    <col min="4098" max="4098" width="9.86328125" style="18" customWidth="1"/>
    <col min="4099" max="4099" width="2" style="18" customWidth="1"/>
    <col min="4100" max="4100" width="12.53125" style="18" customWidth="1"/>
    <col min="4101" max="4101" width="1.86328125" style="18" customWidth="1"/>
    <col min="4102" max="4102" width="2" style="18" customWidth="1"/>
    <col min="4103" max="4103" width="16" style="18" customWidth="1"/>
    <col min="4104" max="4104" width="26" style="18" customWidth="1"/>
    <col min="4105" max="4105" width="9" style="18"/>
    <col min="4106" max="4106" width="9" style="18" customWidth="1"/>
    <col min="4107" max="4353" width="9" style="18"/>
    <col min="4354" max="4354" width="9.86328125" style="18" customWidth="1"/>
    <col min="4355" max="4355" width="2" style="18" customWidth="1"/>
    <col min="4356" max="4356" width="12.53125" style="18" customWidth="1"/>
    <col min="4357" max="4357" width="1.86328125" style="18" customWidth="1"/>
    <col min="4358" max="4358" width="2" style="18" customWidth="1"/>
    <col min="4359" max="4359" width="16" style="18" customWidth="1"/>
    <col min="4360" max="4360" width="26" style="18" customWidth="1"/>
    <col min="4361" max="4361" width="9" style="18"/>
    <col min="4362" max="4362" width="9" style="18" customWidth="1"/>
    <col min="4363" max="4609" width="9" style="18"/>
    <col min="4610" max="4610" width="9.86328125" style="18" customWidth="1"/>
    <col min="4611" max="4611" width="2" style="18" customWidth="1"/>
    <col min="4612" max="4612" width="12.53125" style="18" customWidth="1"/>
    <col min="4613" max="4613" width="1.86328125" style="18" customWidth="1"/>
    <col min="4614" max="4614" width="2" style="18" customWidth="1"/>
    <col min="4615" max="4615" width="16" style="18" customWidth="1"/>
    <col min="4616" max="4616" width="26" style="18" customWidth="1"/>
    <col min="4617" max="4617" width="9" style="18"/>
    <col min="4618" max="4618" width="9" style="18" customWidth="1"/>
    <col min="4619" max="4865" width="9" style="18"/>
    <col min="4866" max="4866" width="9.86328125" style="18" customWidth="1"/>
    <col min="4867" max="4867" width="2" style="18" customWidth="1"/>
    <col min="4868" max="4868" width="12.53125" style="18" customWidth="1"/>
    <col min="4869" max="4869" width="1.86328125" style="18" customWidth="1"/>
    <col min="4870" max="4870" width="2" style="18" customWidth="1"/>
    <col min="4871" max="4871" width="16" style="18" customWidth="1"/>
    <col min="4872" max="4872" width="26" style="18" customWidth="1"/>
    <col min="4873" max="4873" width="9" style="18"/>
    <col min="4874" max="4874" width="9" style="18" customWidth="1"/>
    <col min="4875" max="5121" width="9" style="18"/>
    <col min="5122" max="5122" width="9.86328125" style="18" customWidth="1"/>
    <col min="5123" max="5123" width="2" style="18" customWidth="1"/>
    <col min="5124" max="5124" width="12.53125" style="18" customWidth="1"/>
    <col min="5125" max="5125" width="1.86328125" style="18" customWidth="1"/>
    <col min="5126" max="5126" width="2" style="18" customWidth="1"/>
    <col min="5127" max="5127" width="16" style="18" customWidth="1"/>
    <col min="5128" max="5128" width="26" style="18" customWidth="1"/>
    <col min="5129" max="5129" width="9" style="18"/>
    <col min="5130" max="5130" width="9" style="18" customWidth="1"/>
    <col min="5131" max="5377" width="9" style="18"/>
    <col min="5378" max="5378" width="9.86328125" style="18" customWidth="1"/>
    <col min="5379" max="5379" width="2" style="18" customWidth="1"/>
    <col min="5380" max="5380" width="12.53125" style="18" customWidth="1"/>
    <col min="5381" max="5381" width="1.86328125" style="18" customWidth="1"/>
    <col min="5382" max="5382" width="2" style="18" customWidth="1"/>
    <col min="5383" max="5383" width="16" style="18" customWidth="1"/>
    <col min="5384" max="5384" width="26" style="18" customWidth="1"/>
    <col min="5385" max="5385" width="9" style="18"/>
    <col min="5386" max="5386" width="9" style="18" customWidth="1"/>
    <col min="5387" max="5633" width="9" style="18"/>
    <col min="5634" max="5634" width="9.86328125" style="18" customWidth="1"/>
    <col min="5635" max="5635" width="2" style="18" customWidth="1"/>
    <col min="5636" max="5636" width="12.53125" style="18" customWidth="1"/>
    <col min="5637" max="5637" width="1.86328125" style="18" customWidth="1"/>
    <col min="5638" max="5638" width="2" style="18" customWidth="1"/>
    <col min="5639" max="5639" width="16" style="18" customWidth="1"/>
    <col min="5640" max="5640" width="26" style="18" customWidth="1"/>
    <col min="5641" max="5641" width="9" style="18"/>
    <col min="5642" max="5642" width="9" style="18" customWidth="1"/>
    <col min="5643" max="5889" width="9" style="18"/>
    <col min="5890" max="5890" width="9.86328125" style="18" customWidth="1"/>
    <col min="5891" max="5891" width="2" style="18" customWidth="1"/>
    <col min="5892" max="5892" width="12.53125" style="18" customWidth="1"/>
    <col min="5893" max="5893" width="1.86328125" style="18" customWidth="1"/>
    <col min="5894" max="5894" width="2" style="18" customWidth="1"/>
    <col min="5895" max="5895" width="16" style="18" customWidth="1"/>
    <col min="5896" max="5896" width="26" style="18" customWidth="1"/>
    <col min="5897" max="5897" width="9" style="18"/>
    <col min="5898" max="5898" width="9" style="18" customWidth="1"/>
    <col min="5899" max="6145" width="9" style="18"/>
    <col min="6146" max="6146" width="9.86328125" style="18" customWidth="1"/>
    <col min="6147" max="6147" width="2" style="18" customWidth="1"/>
    <col min="6148" max="6148" width="12.53125" style="18" customWidth="1"/>
    <col min="6149" max="6149" width="1.86328125" style="18" customWidth="1"/>
    <col min="6150" max="6150" width="2" style="18" customWidth="1"/>
    <col min="6151" max="6151" width="16" style="18" customWidth="1"/>
    <col min="6152" max="6152" width="26" style="18" customWidth="1"/>
    <col min="6153" max="6153" width="9" style="18"/>
    <col min="6154" max="6154" width="9" style="18" customWidth="1"/>
    <col min="6155" max="6401" width="9" style="18"/>
    <col min="6402" max="6402" width="9.86328125" style="18" customWidth="1"/>
    <col min="6403" max="6403" width="2" style="18" customWidth="1"/>
    <col min="6404" max="6404" width="12.53125" style="18" customWidth="1"/>
    <col min="6405" max="6405" width="1.86328125" style="18" customWidth="1"/>
    <col min="6406" max="6406" width="2" style="18" customWidth="1"/>
    <col min="6407" max="6407" width="16" style="18" customWidth="1"/>
    <col min="6408" max="6408" width="26" style="18" customWidth="1"/>
    <col min="6409" max="6409" width="9" style="18"/>
    <col min="6410" max="6410" width="9" style="18" customWidth="1"/>
    <col min="6411" max="6657" width="9" style="18"/>
    <col min="6658" max="6658" width="9.86328125" style="18" customWidth="1"/>
    <col min="6659" max="6659" width="2" style="18" customWidth="1"/>
    <col min="6660" max="6660" width="12.53125" style="18" customWidth="1"/>
    <col min="6661" max="6661" width="1.86328125" style="18" customWidth="1"/>
    <col min="6662" max="6662" width="2" style="18" customWidth="1"/>
    <col min="6663" max="6663" width="16" style="18" customWidth="1"/>
    <col min="6664" max="6664" width="26" style="18" customWidth="1"/>
    <col min="6665" max="6665" width="9" style="18"/>
    <col min="6666" max="6666" width="9" style="18" customWidth="1"/>
    <col min="6667" max="6913" width="9" style="18"/>
    <col min="6914" max="6914" width="9.86328125" style="18" customWidth="1"/>
    <col min="6915" max="6915" width="2" style="18" customWidth="1"/>
    <col min="6916" max="6916" width="12.53125" style="18" customWidth="1"/>
    <col min="6917" max="6917" width="1.86328125" style="18" customWidth="1"/>
    <col min="6918" max="6918" width="2" style="18" customWidth="1"/>
    <col min="6919" max="6919" width="16" style="18" customWidth="1"/>
    <col min="6920" max="6920" width="26" style="18" customWidth="1"/>
    <col min="6921" max="6921" width="9" style="18"/>
    <col min="6922" max="6922" width="9" style="18" customWidth="1"/>
    <col min="6923" max="7169" width="9" style="18"/>
    <col min="7170" max="7170" width="9.86328125" style="18" customWidth="1"/>
    <col min="7171" max="7171" width="2" style="18" customWidth="1"/>
    <col min="7172" max="7172" width="12.53125" style="18" customWidth="1"/>
    <col min="7173" max="7173" width="1.86328125" style="18" customWidth="1"/>
    <col min="7174" max="7174" width="2" style="18" customWidth="1"/>
    <col min="7175" max="7175" width="16" style="18" customWidth="1"/>
    <col min="7176" max="7176" width="26" style="18" customWidth="1"/>
    <col min="7177" max="7177" width="9" style="18"/>
    <col min="7178" max="7178" width="9" style="18" customWidth="1"/>
    <col min="7179" max="7425" width="9" style="18"/>
    <col min="7426" max="7426" width="9.86328125" style="18" customWidth="1"/>
    <col min="7427" max="7427" width="2" style="18" customWidth="1"/>
    <col min="7428" max="7428" width="12.53125" style="18" customWidth="1"/>
    <col min="7429" max="7429" width="1.86328125" style="18" customWidth="1"/>
    <col min="7430" max="7430" width="2" style="18" customWidth="1"/>
    <col min="7431" max="7431" width="16" style="18" customWidth="1"/>
    <col min="7432" max="7432" width="26" style="18" customWidth="1"/>
    <col min="7433" max="7433" width="9" style="18"/>
    <col min="7434" max="7434" width="9" style="18" customWidth="1"/>
    <col min="7435" max="7681" width="9" style="18"/>
    <col min="7682" max="7682" width="9.86328125" style="18" customWidth="1"/>
    <col min="7683" max="7683" width="2" style="18" customWidth="1"/>
    <col min="7684" max="7684" width="12.53125" style="18" customWidth="1"/>
    <col min="7685" max="7685" width="1.86328125" style="18" customWidth="1"/>
    <col min="7686" max="7686" width="2" style="18" customWidth="1"/>
    <col min="7687" max="7687" width="16" style="18" customWidth="1"/>
    <col min="7688" max="7688" width="26" style="18" customWidth="1"/>
    <col min="7689" max="7689" width="9" style="18"/>
    <col min="7690" max="7690" width="9" style="18" customWidth="1"/>
    <col min="7691" max="7937" width="9" style="18"/>
    <col min="7938" max="7938" width="9.86328125" style="18" customWidth="1"/>
    <col min="7939" max="7939" width="2" style="18" customWidth="1"/>
    <col min="7940" max="7940" width="12.53125" style="18" customWidth="1"/>
    <col min="7941" max="7941" width="1.86328125" style="18" customWidth="1"/>
    <col min="7942" max="7942" width="2" style="18" customWidth="1"/>
    <col min="7943" max="7943" width="16" style="18" customWidth="1"/>
    <col min="7944" max="7944" width="26" style="18" customWidth="1"/>
    <col min="7945" max="7945" width="9" style="18"/>
    <col min="7946" max="7946" width="9" style="18" customWidth="1"/>
    <col min="7947" max="8193" width="9" style="18"/>
    <col min="8194" max="8194" width="9.86328125" style="18" customWidth="1"/>
    <col min="8195" max="8195" width="2" style="18" customWidth="1"/>
    <col min="8196" max="8196" width="12.53125" style="18" customWidth="1"/>
    <col min="8197" max="8197" width="1.86328125" style="18" customWidth="1"/>
    <col min="8198" max="8198" width="2" style="18" customWidth="1"/>
    <col min="8199" max="8199" width="16" style="18" customWidth="1"/>
    <col min="8200" max="8200" width="26" style="18" customWidth="1"/>
    <col min="8201" max="8201" width="9" style="18"/>
    <col min="8202" max="8202" width="9" style="18" customWidth="1"/>
    <col min="8203" max="8449" width="9" style="18"/>
    <col min="8450" max="8450" width="9.86328125" style="18" customWidth="1"/>
    <col min="8451" max="8451" width="2" style="18" customWidth="1"/>
    <col min="8452" max="8452" width="12.53125" style="18" customWidth="1"/>
    <col min="8453" max="8453" width="1.86328125" style="18" customWidth="1"/>
    <col min="8454" max="8454" width="2" style="18" customWidth="1"/>
    <col min="8455" max="8455" width="16" style="18" customWidth="1"/>
    <col min="8456" max="8456" width="26" style="18" customWidth="1"/>
    <col min="8457" max="8457" width="9" style="18"/>
    <col min="8458" max="8458" width="9" style="18" customWidth="1"/>
    <col min="8459" max="8705" width="9" style="18"/>
    <col min="8706" max="8706" width="9.86328125" style="18" customWidth="1"/>
    <col min="8707" max="8707" width="2" style="18" customWidth="1"/>
    <col min="8708" max="8708" width="12.53125" style="18" customWidth="1"/>
    <col min="8709" max="8709" width="1.86328125" style="18" customWidth="1"/>
    <col min="8710" max="8710" width="2" style="18" customWidth="1"/>
    <col min="8711" max="8711" width="16" style="18" customWidth="1"/>
    <col min="8712" max="8712" width="26" style="18" customWidth="1"/>
    <col min="8713" max="8713" width="9" style="18"/>
    <col min="8714" max="8714" width="9" style="18" customWidth="1"/>
    <col min="8715" max="8961" width="9" style="18"/>
    <col min="8962" max="8962" width="9.86328125" style="18" customWidth="1"/>
    <col min="8963" max="8963" width="2" style="18" customWidth="1"/>
    <col min="8964" max="8964" width="12.53125" style="18" customWidth="1"/>
    <col min="8965" max="8965" width="1.86328125" style="18" customWidth="1"/>
    <col min="8966" max="8966" width="2" style="18" customWidth="1"/>
    <col min="8967" max="8967" width="16" style="18" customWidth="1"/>
    <col min="8968" max="8968" width="26" style="18" customWidth="1"/>
    <col min="8969" max="8969" width="9" style="18"/>
    <col min="8970" max="8970" width="9" style="18" customWidth="1"/>
    <col min="8971" max="9217" width="9" style="18"/>
    <col min="9218" max="9218" width="9.86328125" style="18" customWidth="1"/>
    <col min="9219" max="9219" width="2" style="18" customWidth="1"/>
    <col min="9220" max="9220" width="12.53125" style="18" customWidth="1"/>
    <col min="9221" max="9221" width="1.86328125" style="18" customWidth="1"/>
    <col min="9222" max="9222" width="2" style="18" customWidth="1"/>
    <col min="9223" max="9223" width="16" style="18" customWidth="1"/>
    <col min="9224" max="9224" width="26" style="18" customWidth="1"/>
    <col min="9225" max="9225" width="9" style="18"/>
    <col min="9226" max="9226" width="9" style="18" customWidth="1"/>
    <col min="9227" max="9473" width="9" style="18"/>
    <col min="9474" max="9474" width="9.86328125" style="18" customWidth="1"/>
    <col min="9475" max="9475" width="2" style="18" customWidth="1"/>
    <col min="9476" max="9476" width="12.53125" style="18" customWidth="1"/>
    <col min="9477" max="9477" width="1.86328125" style="18" customWidth="1"/>
    <col min="9478" max="9478" width="2" style="18" customWidth="1"/>
    <col min="9479" max="9479" width="16" style="18" customWidth="1"/>
    <col min="9480" max="9480" width="26" style="18" customWidth="1"/>
    <col min="9481" max="9481" width="9" style="18"/>
    <col min="9482" max="9482" width="9" style="18" customWidth="1"/>
    <col min="9483" max="9729" width="9" style="18"/>
    <col min="9730" max="9730" width="9.86328125" style="18" customWidth="1"/>
    <col min="9731" max="9731" width="2" style="18" customWidth="1"/>
    <col min="9732" max="9732" width="12.53125" style="18" customWidth="1"/>
    <col min="9733" max="9733" width="1.86328125" style="18" customWidth="1"/>
    <col min="9734" max="9734" width="2" style="18" customWidth="1"/>
    <col min="9735" max="9735" width="16" style="18" customWidth="1"/>
    <col min="9736" max="9736" width="26" style="18" customWidth="1"/>
    <col min="9737" max="9737" width="9" style="18"/>
    <col min="9738" max="9738" width="9" style="18" customWidth="1"/>
    <col min="9739" max="9985" width="9" style="18"/>
    <col min="9986" max="9986" width="9.86328125" style="18" customWidth="1"/>
    <col min="9987" max="9987" width="2" style="18" customWidth="1"/>
    <col min="9988" max="9988" width="12.53125" style="18" customWidth="1"/>
    <col min="9989" max="9989" width="1.86328125" style="18" customWidth="1"/>
    <col min="9990" max="9990" width="2" style="18" customWidth="1"/>
    <col min="9991" max="9991" width="16" style="18" customWidth="1"/>
    <col min="9992" max="9992" width="26" style="18" customWidth="1"/>
    <col min="9993" max="9993" width="9" style="18"/>
    <col min="9994" max="9994" width="9" style="18" customWidth="1"/>
    <col min="9995" max="10241" width="9" style="18"/>
    <col min="10242" max="10242" width="9.86328125" style="18" customWidth="1"/>
    <col min="10243" max="10243" width="2" style="18" customWidth="1"/>
    <col min="10244" max="10244" width="12.53125" style="18" customWidth="1"/>
    <col min="10245" max="10245" width="1.86328125" style="18" customWidth="1"/>
    <col min="10246" max="10246" width="2" style="18" customWidth="1"/>
    <col min="10247" max="10247" width="16" style="18" customWidth="1"/>
    <col min="10248" max="10248" width="26" style="18" customWidth="1"/>
    <col min="10249" max="10249" width="9" style="18"/>
    <col min="10250" max="10250" width="9" style="18" customWidth="1"/>
    <col min="10251" max="10497" width="9" style="18"/>
    <col min="10498" max="10498" width="9.86328125" style="18" customWidth="1"/>
    <col min="10499" max="10499" width="2" style="18" customWidth="1"/>
    <col min="10500" max="10500" width="12.53125" style="18" customWidth="1"/>
    <col min="10501" max="10501" width="1.86328125" style="18" customWidth="1"/>
    <col min="10502" max="10502" width="2" style="18" customWidth="1"/>
    <col min="10503" max="10503" width="16" style="18" customWidth="1"/>
    <col min="10504" max="10504" width="26" style="18" customWidth="1"/>
    <col min="10505" max="10505" width="9" style="18"/>
    <col min="10506" max="10506" width="9" style="18" customWidth="1"/>
    <col min="10507" max="10753" width="9" style="18"/>
    <col min="10754" max="10754" width="9.86328125" style="18" customWidth="1"/>
    <col min="10755" max="10755" width="2" style="18" customWidth="1"/>
    <col min="10756" max="10756" width="12.53125" style="18" customWidth="1"/>
    <col min="10757" max="10757" width="1.86328125" style="18" customWidth="1"/>
    <col min="10758" max="10758" width="2" style="18" customWidth="1"/>
    <col min="10759" max="10759" width="16" style="18" customWidth="1"/>
    <col min="10760" max="10760" width="26" style="18" customWidth="1"/>
    <col min="10761" max="10761" width="9" style="18"/>
    <col min="10762" max="10762" width="9" style="18" customWidth="1"/>
    <col min="10763" max="11009" width="9" style="18"/>
    <col min="11010" max="11010" width="9.86328125" style="18" customWidth="1"/>
    <col min="11011" max="11011" width="2" style="18" customWidth="1"/>
    <col min="11012" max="11012" width="12.53125" style="18" customWidth="1"/>
    <col min="11013" max="11013" width="1.86328125" style="18" customWidth="1"/>
    <col min="11014" max="11014" width="2" style="18" customWidth="1"/>
    <col min="11015" max="11015" width="16" style="18" customWidth="1"/>
    <col min="11016" max="11016" width="26" style="18" customWidth="1"/>
    <col min="11017" max="11017" width="9" style="18"/>
    <col min="11018" max="11018" width="9" style="18" customWidth="1"/>
    <col min="11019" max="11265" width="9" style="18"/>
    <col min="11266" max="11266" width="9.86328125" style="18" customWidth="1"/>
    <col min="11267" max="11267" width="2" style="18" customWidth="1"/>
    <col min="11268" max="11268" width="12.53125" style="18" customWidth="1"/>
    <col min="11269" max="11269" width="1.86328125" style="18" customWidth="1"/>
    <col min="11270" max="11270" width="2" style="18" customWidth="1"/>
    <col min="11271" max="11271" width="16" style="18" customWidth="1"/>
    <col min="11272" max="11272" width="26" style="18" customWidth="1"/>
    <col min="11273" max="11273" width="9" style="18"/>
    <col min="11274" max="11274" width="9" style="18" customWidth="1"/>
    <col min="11275" max="11521" width="9" style="18"/>
    <col min="11522" max="11522" width="9.86328125" style="18" customWidth="1"/>
    <col min="11523" max="11523" width="2" style="18" customWidth="1"/>
    <col min="11524" max="11524" width="12.53125" style="18" customWidth="1"/>
    <col min="11525" max="11525" width="1.86328125" style="18" customWidth="1"/>
    <col min="11526" max="11526" width="2" style="18" customWidth="1"/>
    <col min="11527" max="11527" width="16" style="18" customWidth="1"/>
    <col min="11528" max="11528" width="26" style="18" customWidth="1"/>
    <col min="11529" max="11529" width="9" style="18"/>
    <col min="11530" max="11530" width="9" style="18" customWidth="1"/>
    <col min="11531" max="11777" width="9" style="18"/>
    <col min="11778" max="11778" width="9.86328125" style="18" customWidth="1"/>
    <col min="11779" max="11779" width="2" style="18" customWidth="1"/>
    <col min="11780" max="11780" width="12.53125" style="18" customWidth="1"/>
    <col min="11781" max="11781" width="1.86328125" style="18" customWidth="1"/>
    <col min="11782" max="11782" width="2" style="18" customWidth="1"/>
    <col min="11783" max="11783" width="16" style="18" customWidth="1"/>
    <col min="11784" max="11784" width="26" style="18" customWidth="1"/>
    <col min="11785" max="11785" width="9" style="18"/>
    <col min="11786" max="11786" width="9" style="18" customWidth="1"/>
    <col min="11787" max="12033" width="9" style="18"/>
    <col min="12034" max="12034" width="9.86328125" style="18" customWidth="1"/>
    <col min="12035" max="12035" width="2" style="18" customWidth="1"/>
    <col min="12036" max="12036" width="12.53125" style="18" customWidth="1"/>
    <col min="12037" max="12037" width="1.86328125" style="18" customWidth="1"/>
    <col min="12038" max="12038" width="2" style="18" customWidth="1"/>
    <col min="12039" max="12039" width="16" style="18" customWidth="1"/>
    <col min="12040" max="12040" width="26" style="18" customWidth="1"/>
    <col min="12041" max="12041" width="9" style="18"/>
    <col min="12042" max="12042" width="9" style="18" customWidth="1"/>
    <col min="12043" max="12289" width="9" style="18"/>
    <col min="12290" max="12290" width="9.86328125" style="18" customWidth="1"/>
    <col min="12291" max="12291" width="2" style="18" customWidth="1"/>
    <col min="12292" max="12292" width="12.53125" style="18" customWidth="1"/>
    <col min="12293" max="12293" width="1.86328125" style="18" customWidth="1"/>
    <col min="12294" max="12294" width="2" style="18" customWidth="1"/>
    <col min="12295" max="12295" width="16" style="18" customWidth="1"/>
    <col min="12296" max="12296" width="26" style="18" customWidth="1"/>
    <col min="12297" max="12297" width="9" style="18"/>
    <col min="12298" max="12298" width="9" style="18" customWidth="1"/>
    <col min="12299" max="12545" width="9" style="18"/>
    <col min="12546" max="12546" width="9.86328125" style="18" customWidth="1"/>
    <col min="12547" max="12547" width="2" style="18" customWidth="1"/>
    <col min="12548" max="12548" width="12.53125" style="18" customWidth="1"/>
    <col min="12549" max="12549" width="1.86328125" style="18" customWidth="1"/>
    <col min="12550" max="12550" width="2" style="18" customWidth="1"/>
    <col min="12551" max="12551" width="16" style="18" customWidth="1"/>
    <col min="12552" max="12552" width="26" style="18" customWidth="1"/>
    <col min="12553" max="12553" width="9" style="18"/>
    <col min="12554" max="12554" width="9" style="18" customWidth="1"/>
    <col min="12555" max="12801" width="9" style="18"/>
    <col min="12802" max="12802" width="9.86328125" style="18" customWidth="1"/>
    <col min="12803" max="12803" width="2" style="18" customWidth="1"/>
    <col min="12804" max="12804" width="12.53125" style="18" customWidth="1"/>
    <col min="12805" max="12805" width="1.86328125" style="18" customWidth="1"/>
    <col min="12806" max="12806" width="2" style="18" customWidth="1"/>
    <col min="12807" max="12807" width="16" style="18" customWidth="1"/>
    <col min="12808" max="12808" width="26" style="18" customWidth="1"/>
    <col min="12809" max="12809" width="9" style="18"/>
    <col min="12810" max="12810" width="9" style="18" customWidth="1"/>
    <col min="12811" max="13057" width="9" style="18"/>
    <col min="13058" max="13058" width="9.86328125" style="18" customWidth="1"/>
    <col min="13059" max="13059" width="2" style="18" customWidth="1"/>
    <col min="13060" max="13060" width="12.53125" style="18" customWidth="1"/>
    <col min="13061" max="13061" width="1.86328125" style="18" customWidth="1"/>
    <col min="13062" max="13062" width="2" style="18" customWidth="1"/>
    <col min="13063" max="13063" width="16" style="18" customWidth="1"/>
    <col min="13064" max="13064" width="26" style="18" customWidth="1"/>
    <col min="13065" max="13065" width="9" style="18"/>
    <col min="13066" max="13066" width="9" style="18" customWidth="1"/>
    <col min="13067" max="13313" width="9" style="18"/>
    <col min="13314" max="13314" width="9.86328125" style="18" customWidth="1"/>
    <col min="13315" max="13315" width="2" style="18" customWidth="1"/>
    <col min="13316" max="13316" width="12.53125" style="18" customWidth="1"/>
    <col min="13317" max="13317" width="1.86328125" style="18" customWidth="1"/>
    <col min="13318" max="13318" width="2" style="18" customWidth="1"/>
    <col min="13319" max="13319" width="16" style="18" customWidth="1"/>
    <col min="13320" max="13320" width="26" style="18" customWidth="1"/>
    <col min="13321" max="13321" width="9" style="18"/>
    <col min="13322" max="13322" width="9" style="18" customWidth="1"/>
    <col min="13323" max="13569" width="9" style="18"/>
    <col min="13570" max="13570" width="9.86328125" style="18" customWidth="1"/>
    <col min="13571" max="13571" width="2" style="18" customWidth="1"/>
    <col min="13572" max="13572" width="12.53125" style="18" customWidth="1"/>
    <col min="13573" max="13573" width="1.86328125" style="18" customWidth="1"/>
    <col min="13574" max="13574" width="2" style="18" customWidth="1"/>
    <col min="13575" max="13575" width="16" style="18" customWidth="1"/>
    <col min="13576" max="13576" width="26" style="18" customWidth="1"/>
    <col min="13577" max="13577" width="9" style="18"/>
    <col min="13578" max="13578" width="9" style="18" customWidth="1"/>
    <col min="13579" max="13825" width="9" style="18"/>
    <col min="13826" max="13826" width="9.86328125" style="18" customWidth="1"/>
    <col min="13827" max="13827" width="2" style="18" customWidth="1"/>
    <col min="13828" max="13828" width="12.53125" style="18" customWidth="1"/>
    <col min="13829" max="13829" width="1.86328125" style="18" customWidth="1"/>
    <col min="13830" max="13830" width="2" style="18" customWidth="1"/>
    <col min="13831" max="13831" width="16" style="18" customWidth="1"/>
    <col min="13832" max="13832" width="26" style="18" customWidth="1"/>
    <col min="13833" max="13833" width="9" style="18"/>
    <col min="13834" max="13834" width="9" style="18" customWidth="1"/>
    <col min="13835" max="14081" width="9" style="18"/>
    <col min="14082" max="14082" width="9.86328125" style="18" customWidth="1"/>
    <col min="14083" max="14083" width="2" style="18" customWidth="1"/>
    <col min="14084" max="14084" width="12.53125" style="18" customWidth="1"/>
    <col min="14085" max="14085" width="1.86328125" style="18" customWidth="1"/>
    <col min="14086" max="14086" width="2" style="18" customWidth="1"/>
    <col min="14087" max="14087" width="16" style="18" customWidth="1"/>
    <col min="14088" max="14088" width="26" style="18" customWidth="1"/>
    <col min="14089" max="14089" width="9" style="18"/>
    <col min="14090" max="14090" width="9" style="18" customWidth="1"/>
    <col min="14091" max="14337" width="9" style="18"/>
    <col min="14338" max="14338" width="9.86328125" style="18" customWidth="1"/>
    <col min="14339" max="14339" width="2" style="18" customWidth="1"/>
    <col min="14340" max="14340" width="12.53125" style="18" customWidth="1"/>
    <col min="14341" max="14341" width="1.86328125" style="18" customWidth="1"/>
    <col min="14342" max="14342" width="2" style="18" customWidth="1"/>
    <col min="14343" max="14343" width="16" style="18" customWidth="1"/>
    <col min="14344" max="14344" width="26" style="18" customWidth="1"/>
    <col min="14345" max="14345" width="9" style="18"/>
    <col min="14346" max="14346" width="9" style="18" customWidth="1"/>
    <col min="14347" max="14593" width="9" style="18"/>
    <col min="14594" max="14594" width="9.86328125" style="18" customWidth="1"/>
    <col min="14595" max="14595" width="2" style="18" customWidth="1"/>
    <col min="14596" max="14596" width="12.53125" style="18" customWidth="1"/>
    <col min="14597" max="14597" width="1.86328125" style="18" customWidth="1"/>
    <col min="14598" max="14598" width="2" style="18" customWidth="1"/>
    <col min="14599" max="14599" width="16" style="18" customWidth="1"/>
    <col min="14600" max="14600" width="26" style="18" customWidth="1"/>
    <col min="14601" max="14601" width="9" style="18"/>
    <col min="14602" max="14602" width="9" style="18" customWidth="1"/>
    <col min="14603" max="14849" width="9" style="18"/>
    <col min="14850" max="14850" width="9.86328125" style="18" customWidth="1"/>
    <col min="14851" max="14851" width="2" style="18" customWidth="1"/>
    <col min="14852" max="14852" width="12.53125" style="18" customWidth="1"/>
    <col min="14853" max="14853" width="1.86328125" style="18" customWidth="1"/>
    <col min="14854" max="14854" width="2" style="18" customWidth="1"/>
    <col min="14855" max="14855" width="16" style="18" customWidth="1"/>
    <col min="14856" max="14856" width="26" style="18" customWidth="1"/>
    <col min="14857" max="14857" width="9" style="18"/>
    <col min="14858" max="14858" width="9" style="18" customWidth="1"/>
    <col min="14859" max="15105" width="9" style="18"/>
    <col min="15106" max="15106" width="9.86328125" style="18" customWidth="1"/>
    <col min="15107" max="15107" width="2" style="18" customWidth="1"/>
    <col min="15108" max="15108" width="12.53125" style="18" customWidth="1"/>
    <col min="15109" max="15109" width="1.86328125" style="18" customWidth="1"/>
    <col min="15110" max="15110" width="2" style="18" customWidth="1"/>
    <col min="15111" max="15111" width="16" style="18" customWidth="1"/>
    <col min="15112" max="15112" width="26" style="18" customWidth="1"/>
    <col min="15113" max="15113" width="9" style="18"/>
    <col min="15114" max="15114" width="9" style="18" customWidth="1"/>
    <col min="15115" max="15361" width="9" style="18"/>
    <col min="15362" max="15362" width="9.86328125" style="18" customWidth="1"/>
    <col min="15363" max="15363" width="2" style="18" customWidth="1"/>
    <col min="15364" max="15364" width="12.53125" style="18" customWidth="1"/>
    <col min="15365" max="15365" width="1.86328125" style="18" customWidth="1"/>
    <col min="15366" max="15366" width="2" style="18" customWidth="1"/>
    <col min="15367" max="15367" width="16" style="18" customWidth="1"/>
    <col min="15368" max="15368" width="26" style="18" customWidth="1"/>
    <col min="15369" max="15369" width="9" style="18"/>
    <col min="15370" max="15370" width="9" style="18" customWidth="1"/>
    <col min="15371" max="15617" width="9" style="18"/>
    <col min="15618" max="15618" width="9.86328125" style="18" customWidth="1"/>
    <col min="15619" max="15619" width="2" style="18" customWidth="1"/>
    <col min="15620" max="15620" width="12.53125" style="18" customWidth="1"/>
    <col min="15621" max="15621" width="1.86328125" style="18" customWidth="1"/>
    <col min="15622" max="15622" width="2" style="18" customWidth="1"/>
    <col min="15623" max="15623" width="16" style="18" customWidth="1"/>
    <col min="15624" max="15624" width="26" style="18" customWidth="1"/>
    <col min="15625" max="15625" width="9" style="18"/>
    <col min="15626" max="15626" width="9" style="18" customWidth="1"/>
    <col min="15627" max="15873" width="9" style="18"/>
    <col min="15874" max="15874" width="9.86328125" style="18" customWidth="1"/>
    <col min="15875" max="15875" width="2" style="18" customWidth="1"/>
    <col min="15876" max="15876" width="12.53125" style="18" customWidth="1"/>
    <col min="15877" max="15877" width="1.86328125" style="18" customWidth="1"/>
    <col min="15878" max="15878" width="2" style="18" customWidth="1"/>
    <col min="15879" max="15879" width="16" style="18" customWidth="1"/>
    <col min="15880" max="15880" width="26" style="18" customWidth="1"/>
    <col min="15881" max="15881" width="9" style="18"/>
    <col min="15882" max="15882" width="9" style="18" customWidth="1"/>
    <col min="15883" max="16129" width="9" style="18"/>
    <col min="16130" max="16130" width="9.86328125" style="18" customWidth="1"/>
    <col min="16131" max="16131" width="2" style="18" customWidth="1"/>
    <col min="16132" max="16132" width="12.53125" style="18" customWidth="1"/>
    <col min="16133" max="16133" width="1.86328125" style="18" customWidth="1"/>
    <col min="16134" max="16134" width="2" style="18" customWidth="1"/>
    <col min="16135" max="16135" width="16" style="18" customWidth="1"/>
    <col min="16136" max="16136" width="26" style="18" customWidth="1"/>
    <col min="16137" max="16137" width="9" style="18"/>
    <col min="16138" max="16138" width="9" style="18" customWidth="1"/>
    <col min="16139" max="16384" width="9" style="18"/>
  </cols>
  <sheetData>
    <row r="1" spans="1:12" ht="17.25">
      <c r="D1" s="866" t="str">
        <f>UPPER(opd_lok)</f>
        <v>PROVINSI NUSA TENGGARA BARAT</v>
      </c>
      <c r="E1" s="866"/>
      <c r="F1" s="866"/>
      <c r="G1" s="866"/>
      <c r="H1" s="866"/>
      <c r="I1" s="866"/>
      <c r="J1" s="866"/>
    </row>
    <row r="2" spans="1:12" ht="43.8" customHeight="1">
      <c r="D2" s="1291" t="str">
        <f>UPPER(opd_nama)</f>
        <v>BADAN PENGELOLAAN KEUANGAN DAN ASET DAERAH</v>
      </c>
      <c r="E2" s="1291"/>
      <c r="F2" s="1291"/>
      <c r="G2" s="1291"/>
      <c r="H2" s="1291"/>
      <c r="I2" s="1291"/>
      <c r="J2" s="1291"/>
    </row>
    <row r="3" spans="1:12" ht="17.850000000000001" customHeight="1">
      <c r="A3" s="24"/>
      <c r="B3" s="24"/>
      <c r="C3" s="24"/>
      <c r="D3" s="868" t="str">
        <f>opd_almt</f>
        <v>Jalan Pejanggik Nomor 14 Telp.( 0370 ) 627689, 625345 Fax: 627677</v>
      </c>
      <c r="E3" s="868"/>
      <c r="F3" s="868"/>
      <c r="G3" s="868"/>
      <c r="H3" s="868"/>
      <c r="I3" s="868"/>
      <c r="J3" s="868"/>
    </row>
    <row r="4" spans="1:12" ht="5.25" customHeight="1">
      <c r="A4" s="60"/>
      <c r="B4" s="60"/>
      <c r="C4" s="60"/>
      <c r="D4" s="60"/>
      <c r="E4" s="60"/>
      <c r="F4" s="60"/>
      <c r="G4" s="60"/>
      <c r="H4" s="60"/>
      <c r="I4" s="60"/>
    </row>
    <row r="5" spans="1:12" ht="17.850000000000001" customHeight="1">
      <c r="A5" s="869" t="s">
        <v>1194</v>
      </c>
      <c r="B5" s="869"/>
      <c r="C5" s="869"/>
      <c r="D5" s="869"/>
      <c r="E5" s="869"/>
      <c r="F5" s="869"/>
      <c r="G5" s="869"/>
      <c r="H5" s="869"/>
      <c r="I5" s="869"/>
      <c r="J5" s="869"/>
      <c r="K5" s="847" t="s">
        <v>1356</v>
      </c>
      <c r="L5" s="145"/>
    </row>
    <row r="6" spans="1:12" ht="15" customHeight="1">
      <c r="A6" s="870" t="str">
        <f>paket</f>
        <v>Belanja Pemeliharaan Bangunan Gedung-Bangunan Gedung Tempat Kerja-Bangunan Gedung Kantor-Pemeliharaan Gedung Bertingkat</v>
      </c>
      <c r="B6" s="870"/>
      <c r="C6" s="870"/>
      <c r="D6" s="870"/>
      <c r="E6" s="870"/>
      <c r="F6" s="870"/>
      <c r="G6" s="870"/>
      <c r="H6" s="870"/>
      <c r="I6" s="870"/>
      <c r="J6" s="870"/>
      <c r="K6" s="71" t="s">
        <v>253</v>
      </c>
      <c r="L6" s="58"/>
    </row>
    <row r="7" spans="1:12" ht="15" customHeight="1">
      <c r="A7" s="870" t="str">
        <f>"Nomor: "&amp;Input!$D$106</f>
        <v>Nomor: 027.3/17/BAPHP/BPKAD/2024</v>
      </c>
      <c r="B7" s="870"/>
      <c r="C7" s="870"/>
      <c r="D7" s="870"/>
      <c r="E7" s="870"/>
      <c r="F7" s="870"/>
      <c r="G7" s="870"/>
      <c r="H7" s="870"/>
      <c r="I7" s="870"/>
      <c r="J7" s="870"/>
      <c r="K7" s="69"/>
      <c r="L7" s="58"/>
    </row>
    <row r="8" spans="1:12" customFormat="1" ht="5.25" customHeight="1">
      <c r="A8" s="59"/>
      <c r="B8" s="59"/>
      <c r="C8" s="59"/>
      <c r="D8" s="59"/>
      <c r="E8" s="59"/>
      <c r="F8" s="59"/>
      <c r="G8" s="59"/>
      <c r="H8" s="59"/>
      <c r="I8" s="59"/>
      <c r="J8" s="59"/>
      <c r="K8" s="69"/>
      <c r="L8" s="59"/>
    </row>
    <row r="9" spans="1:12" ht="15" customHeight="1">
      <c r="A9" s="884" t="str">
        <f>"Pada hari ini, "&amp;Input!$E$106&amp;", tanggal "&amp;Input!$H$106&amp;", sesuai dengan penyerahan hasil pekerjaan oleh "&amp;ppk_jab&amp;" melalui surat nomor "&amp;Input!$D$104&amp;" tanggal "&amp;Input!$H$104&amp;" dan Surat Tugas "&amp;php_jab&amp;" nomor "&amp;Input!$D$105&amp;" tanggal "&amp;Input!$H$105&amp;", maka "&amp;php_jab&amp;" bersama dengan "&amp;ppk_jab&amp;" melaksanakan telah menyelesaikan rapat pemeriksaan administrasi untuk pekerjaan sebagai berikut:"</f>
        <v>Pada hari ini, Sabtu, tanggal 2 September 2023, sesuai dengan penyerahan hasil pekerjaan oleh Pejabat Pembuat Komitmen melalui surat nomor 027.3/17/BAPH/BPKAD/2024 tanggal 2 September 2023 dan Surat Tugas Pejabat Pemeriksa Hasil Pekerjaan nomor 013/CDE/A/IX/741c/2023 tanggal 2 September 2023, maka Pejabat Pemeriksa Hasil Pekerjaan bersama dengan Pejabat Pembuat Komitmen melaksanakan telah menyelesaikan rapat pemeriksaan administrasi untuk pekerjaan sebagai berikut:</v>
      </c>
      <c r="B9" s="884"/>
      <c r="C9" s="884"/>
      <c r="D9" s="884"/>
      <c r="E9" s="884"/>
      <c r="F9" s="884"/>
      <c r="G9" s="884"/>
      <c r="H9" s="884"/>
      <c r="I9" s="884"/>
      <c r="J9" s="884"/>
    </row>
    <row r="10" spans="1:12" ht="15" customHeight="1">
      <c r="A10" s="884"/>
      <c r="B10" s="884"/>
      <c r="C10" s="884"/>
      <c r="D10" s="884"/>
      <c r="E10" s="884"/>
      <c r="F10" s="884"/>
      <c r="G10" s="884"/>
      <c r="H10" s="884"/>
      <c r="I10" s="884"/>
      <c r="J10" s="884"/>
    </row>
    <row r="11" spans="1:12" ht="15" customHeight="1">
      <c r="A11" s="884"/>
      <c r="B11" s="884"/>
      <c r="C11" s="884"/>
      <c r="D11" s="884"/>
      <c r="E11" s="884"/>
      <c r="F11" s="884"/>
      <c r="G11" s="884"/>
      <c r="H11" s="884"/>
      <c r="I11" s="884"/>
      <c r="J11" s="884"/>
    </row>
    <row r="12" spans="1:12" ht="15" customHeight="1">
      <c r="A12" s="884"/>
      <c r="B12" s="884"/>
      <c r="C12" s="884"/>
      <c r="D12" s="884"/>
      <c r="E12" s="884"/>
      <c r="F12" s="884"/>
      <c r="G12" s="884"/>
      <c r="H12" s="884"/>
      <c r="I12" s="884"/>
      <c r="J12" s="884"/>
    </row>
    <row r="13" spans="1:12" ht="15" customHeight="1">
      <c r="A13" s="884"/>
      <c r="B13" s="884"/>
      <c r="C13" s="884"/>
      <c r="D13" s="884"/>
      <c r="E13" s="884"/>
      <c r="F13" s="884"/>
      <c r="G13" s="884"/>
      <c r="H13" s="884"/>
      <c r="I13" s="884"/>
      <c r="J13" s="884"/>
    </row>
    <row r="14" spans="1:12" ht="5.25" customHeight="1">
      <c r="A14" s="60"/>
      <c r="B14" s="60"/>
      <c r="C14" s="27"/>
      <c r="D14" s="27"/>
      <c r="E14" s="27"/>
      <c r="F14" s="27"/>
      <c r="G14" s="27"/>
      <c r="H14" s="27"/>
      <c r="I14" s="72"/>
    </row>
    <row r="15" spans="1:12" ht="15" customHeight="1">
      <c r="A15" s="60" t="s">
        <v>1195</v>
      </c>
      <c r="B15" s="60"/>
      <c r="E15" s="61" t="s">
        <v>2</v>
      </c>
      <c r="F15" s="60" t="str">
        <f>ppk_nama</f>
        <v>Ika Kurnia Mustika, ST, MT</v>
      </c>
      <c r="G15" s="60"/>
      <c r="H15" s="60"/>
      <c r="I15" s="72"/>
    </row>
    <row r="16" spans="1:12" ht="15" customHeight="1">
      <c r="A16" s="60" t="s">
        <v>1196</v>
      </c>
      <c r="B16" s="60"/>
      <c r="E16" s="61" t="s">
        <v>2</v>
      </c>
      <c r="F16" s="60" t="str">
        <f>ppk_nip</f>
        <v>19791117 200901 1 006</v>
      </c>
      <c r="G16" s="60"/>
      <c r="H16" s="60"/>
      <c r="I16" s="72"/>
    </row>
    <row r="17" spans="1:11" ht="15" customHeight="1">
      <c r="A17" s="60" t="s">
        <v>1197</v>
      </c>
      <c r="B17" s="60"/>
      <c r="E17" s="61" t="s">
        <v>2</v>
      </c>
      <c r="F17" s="60" t="str">
        <f>ppk_jab</f>
        <v>Pejabat Pembuat Komitmen</v>
      </c>
      <c r="G17" s="60"/>
      <c r="H17" s="60"/>
      <c r="I17" s="72"/>
    </row>
    <row r="18" spans="1:11" ht="15" customHeight="1">
      <c r="A18" s="60" t="s">
        <v>1183</v>
      </c>
      <c r="B18" s="60"/>
      <c r="E18" s="61" t="s">
        <v>2</v>
      </c>
      <c r="F18" s="1292">
        <f>spk_nilai</f>
        <v>69862000</v>
      </c>
      <c r="G18" s="1292"/>
      <c r="H18" s="60"/>
      <c r="I18" s="72"/>
    </row>
    <row r="19" spans="1:11" ht="15" customHeight="1">
      <c r="A19" s="60"/>
      <c r="B19" s="60"/>
      <c r="E19" s="61"/>
      <c r="F19" s="884" t="str">
        <f>"("&amp;spk_ter&amp;")"</f>
        <v>(Enam Puluh Sembilan Juta Delapan Ratus Enam Puluh Dua Ribu Rupiah)</v>
      </c>
      <c r="G19" s="884"/>
      <c r="H19" s="884"/>
      <c r="I19" s="884"/>
      <c r="J19" s="884"/>
    </row>
    <row r="20" spans="1:11" ht="15" customHeight="1">
      <c r="A20" s="60"/>
      <c r="B20" s="60"/>
      <c r="C20" s="60"/>
      <c r="D20" s="60"/>
      <c r="E20" s="60"/>
      <c r="F20" s="60"/>
      <c r="G20" s="60"/>
      <c r="H20" s="60"/>
      <c r="I20" s="72"/>
    </row>
    <row r="21" spans="1:11" ht="15" customHeight="1">
      <c r="A21" s="884" t="str">
        <f>"Setelah mempelajari secara seksama seluruh administrasi pelaksanaan paket pekerjaan yang disampaikan oleh "&amp;ppk_jab&amp;", "&amp;php_jab&amp;" menyatakan bahwa seluruh data telah lengkap dan sesuai daftar simak yang dipersyaratkan sebagaimana terlampir."</f>
        <v>Setelah mempelajari secara seksama seluruh administrasi pelaksanaan paket pekerjaan yang disampaikan oleh Pejabat Pembuat Komitmen, Pejabat Pemeriksa Hasil Pekerjaan menyatakan bahwa seluruh data telah lengkap dan sesuai daftar simak yang dipersyaratkan sebagaimana terlampir.</v>
      </c>
      <c r="B21" s="884"/>
      <c r="C21" s="884"/>
      <c r="D21" s="884"/>
      <c r="E21" s="884"/>
      <c r="F21" s="884"/>
      <c r="G21" s="884"/>
      <c r="H21" s="884"/>
      <c r="I21" s="884"/>
      <c r="J21" s="884"/>
    </row>
    <row r="22" spans="1:11" ht="15" customHeight="1">
      <c r="A22" s="884"/>
      <c r="B22" s="884"/>
      <c r="C22" s="884"/>
      <c r="D22" s="884"/>
      <c r="E22" s="884"/>
      <c r="F22" s="884"/>
      <c r="G22" s="884"/>
      <c r="H22" s="884"/>
      <c r="I22" s="884"/>
      <c r="J22" s="884"/>
    </row>
    <row r="23" spans="1:11" ht="15" customHeight="1">
      <c r="A23" s="884"/>
      <c r="B23" s="884"/>
      <c r="C23" s="884"/>
      <c r="D23" s="884"/>
      <c r="E23" s="884"/>
      <c r="F23" s="884"/>
      <c r="G23" s="884"/>
      <c r="H23" s="884"/>
      <c r="I23" s="884"/>
      <c r="J23" s="884"/>
    </row>
    <row r="24" spans="1:11" ht="15" customHeight="1">
      <c r="A24" s="62"/>
      <c r="B24" s="62"/>
      <c r="C24" s="62"/>
      <c r="D24" s="62"/>
      <c r="E24" s="62"/>
      <c r="F24" s="62"/>
      <c r="G24" s="62"/>
      <c r="H24" s="62"/>
      <c r="I24" s="62"/>
    </row>
    <row r="25" spans="1:11" ht="15" customHeight="1">
      <c r="A25" s="1283" t="str">
        <f>"Demikian Berita Acara ini dibuat dan ditandatangani di "&amp;lokasi&amp;" pada tanggal tersebut di atas."</f>
        <v>Demikian Berita Acara ini dibuat dan ditandatangani di Mataram pada tanggal tersebut di atas.</v>
      </c>
      <c r="B25" s="884"/>
      <c r="C25" s="884"/>
      <c r="D25" s="884"/>
      <c r="E25" s="884"/>
      <c r="F25" s="884"/>
      <c r="G25" s="884"/>
      <c r="H25" s="884"/>
      <c r="I25" s="884"/>
      <c r="J25" s="884"/>
      <c r="K25" s="843" t="str">
        <f>"Kalau tidak ada PTP, row "&amp;K36&amp;" - "&amp;K40&amp;" di-hide"</f>
        <v>Kalau tidak ada PTP, row 36 - 40 di-hide</v>
      </c>
    </row>
    <row r="26" spans="1:11" ht="15" customHeight="1">
      <c r="A26" s="62"/>
      <c r="B26" s="62"/>
      <c r="C26" s="62"/>
      <c r="D26" s="62"/>
      <c r="E26" s="62"/>
      <c r="F26" s="62"/>
      <c r="G26" s="62"/>
      <c r="H26" s="62"/>
      <c r="I26" s="62"/>
      <c r="K26" s="843"/>
    </row>
    <row r="27" spans="1:11">
      <c r="A27" s="100" t="s">
        <v>258</v>
      </c>
      <c r="B27" s="1162" t="str">
        <f>php_jab</f>
        <v>Pejabat Pemeriksa Hasil Pekerjaan</v>
      </c>
      <c r="C27" s="1163"/>
      <c r="D27" s="1163"/>
      <c r="E27" s="1163"/>
      <c r="F27" s="1163"/>
      <c r="G27" s="1163"/>
      <c r="H27" s="1162" t="s">
        <v>983</v>
      </c>
      <c r="I27" s="1163"/>
      <c r="J27" s="1164"/>
      <c r="K27" s="848"/>
    </row>
    <row r="28" spans="1:11">
      <c r="A28" s="101"/>
      <c r="B28" s="1293"/>
      <c r="C28" s="1294"/>
      <c r="D28" s="1294"/>
      <c r="E28" s="1294"/>
      <c r="F28" s="1294"/>
      <c r="G28" s="1294"/>
      <c r="H28" s="1293"/>
      <c r="I28" s="1294"/>
      <c r="J28" s="1295"/>
      <c r="K28" s="21"/>
    </row>
    <row r="29" spans="1:11">
      <c r="A29" s="105">
        <v>1</v>
      </c>
      <c r="B29" s="106" t="str">
        <f>php_na1</f>
        <v>Nyiur Melambai</v>
      </c>
      <c r="C29" s="107"/>
      <c r="D29" s="107"/>
      <c r="E29" s="107"/>
      <c r="F29" s="107"/>
      <c r="G29" s="107"/>
      <c r="H29" s="1157" t="s">
        <v>419</v>
      </c>
      <c r="I29" s="1158"/>
      <c r="J29" s="1159"/>
      <c r="K29" s="21"/>
    </row>
    <row r="30" spans="1:11">
      <c r="A30" s="105"/>
      <c r="B30" s="106" t="str">
        <f>"NIP. "&amp;php_nip1</f>
        <v>NIP. 19920202 200202 2 002</v>
      </c>
      <c r="C30" s="107"/>
      <c r="D30" s="107"/>
      <c r="E30" s="107"/>
      <c r="F30" s="107"/>
      <c r="G30" s="107"/>
      <c r="H30" s="115"/>
      <c r="I30" s="114"/>
      <c r="J30" s="109"/>
      <c r="K30" s="21"/>
    </row>
    <row r="31" spans="1:11" ht="14.25" customHeight="1">
      <c r="A31" s="105">
        <v>2</v>
      </c>
      <c r="B31" s="106" t="str">
        <f>php_na2</f>
        <v>Rayuan Kelapa</v>
      </c>
      <c r="C31" s="107"/>
      <c r="D31" s="107"/>
      <c r="E31" s="107"/>
      <c r="F31" s="107"/>
      <c r="G31" s="107"/>
      <c r="H31" s="1154" t="s">
        <v>422</v>
      </c>
      <c r="I31" s="1155"/>
      <c r="J31" s="1156"/>
      <c r="K31" s="21"/>
    </row>
    <row r="32" spans="1:11" ht="14.25" customHeight="1">
      <c r="A32" s="105"/>
      <c r="B32" s="106" t="str">
        <f>"NIP. "&amp;php_nip2</f>
        <v>NIP. 19930303 200303 1 003</v>
      </c>
      <c r="C32" s="107"/>
      <c r="D32" s="107"/>
      <c r="E32" s="107"/>
      <c r="F32" s="107"/>
      <c r="G32" s="107"/>
      <c r="H32" s="117"/>
      <c r="I32" s="116"/>
      <c r="J32" s="110"/>
      <c r="K32" s="21"/>
    </row>
    <row r="33" spans="1:12" ht="14.25" customHeight="1">
      <c r="A33" s="105">
        <v>3</v>
      </c>
      <c r="B33" s="106" t="str">
        <f>php_na3</f>
        <v>Gugur Bunga</v>
      </c>
      <c r="C33" s="107"/>
      <c r="D33" s="107"/>
      <c r="E33" s="107"/>
      <c r="F33" s="107"/>
      <c r="G33" s="107"/>
      <c r="H33" s="1157" t="s">
        <v>425</v>
      </c>
      <c r="I33" s="1158"/>
      <c r="J33" s="1159"/>
      <c r="K33" s="21"/>
    </row>
    <row r="34" spans="1:12" ht="14.25" customHeight="1">
      <c r="A34" s="105"/>
      <c r="B34" s="106" t="str">
        <f>"NIP. "&amp;php_nip3</f>
        <v>NIP. 19940404 200404 2 004</v>
      </c>
      <c r="C34" s="107"/>
      <c r="D34" s="107"/>
      <c r="E34" s="107"/>
      <c r="F34" s="107"/>
      <c r="G34" s="107"/>
      <c r="H34" s="115"/>
      <c r="I34" s="114"/>
      <c r="J34" s="109"/>
      <c r="K34" s="848"/>
    </row>
    <row r="35" spans="1:12">
      <c r="A35" s="14"/>
      <c r="B35" s="14"/>
      <c r="C35" s="15"/>
      <c r="D35" s="15"/>
      <c r="E35" s="15"/>
      <c r="F35" s="15"/>
      <c r="G35" s="15"/>
      <c r="H35" s="1168"/>
      <c r="I35" s="1169"/>
      <c r="J35" s="1170"/>
      <c r="K35" s="848"/>
    </row>
    <row r="36" spans="1:12">
      <c r="A36" s="100"/>
      <c r="B36" s="1162" t="str">
        <f>Input!$D$157</f>
        <v>Pejabat Pelaksana Teknis Kegiatan</v>
      </c>
      <c r="C36" s="1163"/>
      <c r="D36" s="1163"/>
      <c r="E36" s="1163"/>
      <c r="F36" s="1163"/>
      <c r="G36" s="1163"/>
      <c r="H36" s="1162" t="s">
        <v>983</v>
      </c>
      <c r="I36" s="1163"/>
      <c r="J36" s="1164"/>
      <c r="K36" s="844">
        <f>ROW()</f>
        <v>36</v>
      </c>
    </row>
    <row r="37" spans="1:12">
      <c r="A37" s="101"/>
      <c r="B37" s="102"/>
      <c r="C37" s="103"/>
      <c r="D37" s="103"/>
      <c r="E37" s="103"/>
      <c r="F37" s="103"/>
      <c r="G37" s="103"/>
      <c r="H37" s="102"/>
      <c r="I37" s="103"/>
      <c r="J37" s="104"/>
      <c r="K37" s="845"/>
    </row>
    <row r="38" spans="1:12">
      <c r="A38" s="105"/>
      <c r="B38" s="106" t="str">
        <f>Input!$D$155</f>
        <v>M. Syamsul Hadi, S.E</v>
      </c>
      <c r="C38" s="107"/>
      <c r="D38" s="107"/>
      <c r="E38" s="107"/>
      <c r="F38" s="107"/>
      <c r="G38" s="107"/>
      <c r="H38" s="812"/>
      <c r="I38" s="114"/>
      <c r="J38" s="109"/>
      <c r="K38" s="845"/>
    </row>
    <row r="39" spans="1:12">
      <c r="A39" s="105"/>
      <c r="B39" s="106" t="str">
        <f>"NIP. "&amp;Input!$D$156</f>
        <v>NIP. 19810210 200501 1 010</v>
      </c>
      <c r="C39" s="107"/>
      <c r="D39" s="107"/>
      <c r="E39" s="107"/>
      <c r="F39" s="107"/>
      <c r="G39" s="107"/>
      <c r="H39" s="115"/>
      <c r="I39" s="114"/>
      <c r="J39" s="109"/>
      <c r="K39" s="845"/>
    </row>
    <row r="40" spans="1:12">
      <c r="A40" s="14"/>
      <c r="B40" s="14"/>
      <c r="C40" s="15"/>
      <c r="D40" s="15"/>
      <c r="E40" s="15"/>
      <c r="F40" s="15"/>
      <c r="G40" s="15"/>
      <c r="H40" s="14"/>
      <c r="I40" s="15"/>
      <c r="J40" s="16"/>
      <c r="K40" s="844">
        <f>ROW()</f>
        <v>40</v>
      </c>
    </row>
    <row r="41" spans="1:12">
      <c r="A41" s="100"/>
      <c r="B41" s="1162" t="str">
        <f>ppk_jab</f>
        <v>Pejabat Pembuat Komitmen</v>
      </c>
      <c r="C41" s="1163"/>
      <c r="D41" s="1163"/>
      <c r="E41" s="1163"/>
      <c r="F41" s="1163"/>
      <c r="G41" s="1163"/>
      <c r="H41" s="1162" t="s">
        <v>983</v>
      </c>
      <c r="I41" s="1163"/>
      <c r="J41" s="1164"/>
    </row>
    <row r="42" spans="1:12">
      <c r="A42" s="101"/>
      <c r="B42" s="102"/>
      <c r="C42" s="103"/>
      <c r="D42" s="103"/>
      <c r="E42" s="103"/>
      <c r="F42" s="103"/>
      <c r="G42" s="103"/>
      <c r="H42" s="102"/>
      <c r="I42" s="103"/>
      <c r="J42" s="104"/>
    </row>
    <row r="43" spans="1:12">
      <c r="A43" s="105"/>
      <c r="B43" s="106" t="str">
        <f>ppk_nama</f>
        <v>Ika Kurnia Mustika, ST, MT</v>
      </c>
      <c r="C43" s="107"/>
      <c r="D43" s="107"/>
      <c r="E43" s="107"/>
      <c r="F43" s="107"/>
      <c r="G43" s="107"/>
      <c r="H43" s="812"/>
      <c r="I43" s="114"/>
      <c r="J43" s="109"/>
    </row>
    <row r="44" spans="1:12">
      <c r="A44" s="105"/>
      <c r="B44" s="106" t="str">
        <f>"NIP. "&amp;ppk_nip</f>
        <v>NIP. 19791117 200901 1 006</v>
      </c>
      <c r="C44" s="107"/>
      <c r="D44" s="107"/>
      <c r="E44" s="107"/>
      <c r="F44" s="107"/>
      <c r="G44" s="107"/>
      <c r="H44" s="115"/>
      <c r="I44" s="114"/>
      <c r="J44" s="109"/>
    </row>
    <row r="45" spans="1:12" ht="5.25" customHeight="1">
      <c r="A45" s="14"/>
      <c r="B45" s="14"/>
      <c r="C45" s="15"/>
      <c r="D45" s="15"/>
      <c r="E45" s="15"/>
      <c r="F45" s="15"/>
      <c r="G45" s="15"/>
      <c r="H45" s="14"/>
      <c r="I45" s="15"/>
      <c r="J45" s="16"/>
    </row>
    <row r="46" spans="1:12" ht="15" customHeight="1">
      <c r="A46" s="62"/>
      <c r="B46" s="62"/>
      <c r="C46" s="62"/>
      <c r="D46" s="62"/>
      <c r="E46" s="62"/>
      <c r="F46" s="62"/>
      <c r="G46" s="62"/>
      <c r="H46" s="62"/>
      <c r="I46" s="62"/>
    </row>
    <row r="47" spans="1:12" ht="15" customHeight="1">
      <c r="A47" s="62"/>
      <c r="B47" s="62"/>
      <c r="C47" s="62"/>
      <c r="D47" s="62"/>
      <c r="E47" s="62"/>
      <c r="F47" s="62"/>
      <c r="G47" s="62"/>
      <c r="H47" s="62"/>
      <c r="I47" s="62"/>
    </row>
    <row r="48" spans="1:12" ht="17.850000000000001" customHeight="1">
      <c r="A48" s="1296" t="s">
        <v>1198</v>
      </c>
      <c r="B48" s="1296"/>
      <c r="C48" s="1296"/>
      <c r="D48" s="1296"/>
      <c r="E48" s="1296"/>
      <c r="F48" s="1296"/>
      <c r="G48" s="1296"/>
      <c r="H48" s="1296"/>
      <c r="I48" s="1296"/>
      <c r="J48" s="1296"/>
      <c r="K48" s="69"/>
      <c r="L48" s="70"/>
    </row>
    <row r="49" spans="1:12" ht="17.850000000000001" customHeight="1">
      <c r="A49" s="869" t="s">
        <v>1199</v>
      </c>
      <c r="B49" s="869"/>
      <c r="C49" s="869"/>
      <c r="D49" s="869"/>
      <c r="E49" s="869"/>
      <c r="F49" s="869"/>
      <c r="G49" s="869"/>
      <c r="H49" s="869"/>
      <c r="I49" s="869"/>
      <c r="J49" s="869"/>
      <c r="K49" s="69"/>
      <c r="L49" s="70"/>
    </row>
    <row r="50" spans="1:12" ht="29.1" customHeight="1">
      <c r="A50" s="870" t="str">
        <f>paket</f>
        <v>Belanja Pemeliharaan Bangunan Gedung-Bangunan Gedung Tempat Kerja-Bangunan Gedung Kantor-Pemeliharaan Gedung Bertingkat</v>
      </c>
      <c r="B50" s="870"/>
      <c r="C50" s="870"/>
      <c r="D50" s="870"/>
      <c r="E50" s="870"/>
      <c r="F50" s="870"/>
      <c r="G50" s="870"/>
      <c r="H50" s="870"/>
      <c r="I50" s="870"/>
      <c r="J50" s="870"/>
      <c r="K50" s="71" t="s">
        <v>253</v>
      </c>
      <c r="L50" s="58"/>
    </row>
    <row r="51" spans="1:12" customFormat="1" ht="5.25" customHeight="1">
      <c r="A51" s="59"/>
      <c r="B51" s="59"/>
      <c r="C51" s="59"/>
      <c r="D51" s="59"/>
      <c r="E51" s="59"/>
      <c r="F51" s="59"/>
      <c r="G51" s="59"/>
      <c r="H51" s="59"/>
      <c r="I51" s="59"/>
      <c r="J51" s="59"/>
      <c r="K51" s="69"/>
      <c r="L51" s="59"/>
    </row>
    <row r="52" spans="1:12" customFormat="1" ht="15" customHeight="1">
      <c r="A52" s="59" t="s">
        <v>1101</v>
      </c>
      <c r="B52" s="59"/>
      <c r="C52" s="59"/>
      <c r="D52" s="59"/>
      <c r="E52" s="59" t="s">
        <v>2</v>
      </c>
      <c r="F52" s="59" t="str">
        <f>Input!E106&amp;", "&amp;Input!H106</f>
        <v>Sabtu, 2 September 2023</v>
      </c>
      <c r="G52" s="59"/>
      <c r="H52" s="59"/>
      <c r="I52" s="59"/>
      <c r="J52" s="59"/>
      <c r="K52" s="69"/>
      <c r="L52" s="59"/>
    </row>
    <row r="53" spans="1:12" customFormat="1" ht="15" customHeight="1">
      <c r="A53" s="59"/>
      <c r="B53" s="59"/>
      <c r="C53" s="59"/>
      <c r="D53" s="59"/>
      <c r="E53" s="59"/>
      <c r="F53" s="59"/>
      <c r="G53" s="59"/>
      <c r="H53" s="59"/>
      <c r="I53" s="59"/>
      <c r="J53" s="59"/>
      <c r="K53" s="69"/>
      <c r="L53" s="59"/>
    </row>
    <row r="54" spans="1:12" ht="15" customHeight="1">
      <c r="A54" s="1303" t="s">
        <v>1355</v>
      </c>
      <c r="B54" s="884"/>
      <c r="C54" s="884"/>
      <c r="D54" s="884"/>
      <c r="E54" s="884"/>
      <c r="F54" s="884"/>
      <c r="G54" s="884"/>
      <c r="H54" s="884"/>
      <c r="I54" s="884"/>
      <c r="J54" s="884"/>
    </row>
    <row r="55" spans="1:12" ht="15" customHeight="1">
      <c r="A55" s="60"/>
      <c r="B55" s="60"/>
      <c r="C55" s="60"/>
      <c r="D55" s="60"/>
      <c r="E55" s="60"/>
      <c r="F55" s="60"/>
      <c r="G55" s="60"/>
      <c r="H55" s="60"/>
      <c r="I55" s="60"/>
      <c r="J55" s="60"/>
    </row>
    <row r="56" spans="1:12" ht="15" customHeight="1">
      <c r="A56" s="1297" t="s">
        <v>1200</v>
      </c>
      <c r="B56" s="1297"/>
      <c r="C56" s="1297"/>
      <c r="D56" s="1297"/>
      <c r="E56" s="1297"/>
      <c r="F56" s="1297"/>
      <c r="G56" s="1298"/>
      <c r="H56" s="1298" t="s">
        <v>965</v>
      </c>
      <c r="I56" s="1299"/>
      <c r="J56" s="1300"/>
    </row>
    <row r="57" spans="1:12" ht="15" customHeight="1">
      <c r="A57" s="133"/>
      <c r="B57" s="60"/>
      <c r="C57" s="60"/>
      <c r="D57" s="60"/>
      <c r="E57" s="60"/>
      <c r="F57" s="60"/>
      <c r="G57" s="60"/>
      <c r="H57" s="133"/>
      <c r="I57" s="60"/>
      <c r="J57" s="146"/>
    </row>
    <row r="58" spans="1:12" ht="15" customHeight="1">
      <c r="A58" s="134" t="s">
        <v>270</v>
      </c>
      <c r="B58" s="135" t="s">
        <v>1201</v>
      </c>
      <c r="C58" s="135"/>
      <c r="D58" s="135"/>
      <c r="E58" s="135"/>
      <c r="F58" s="135"/>
      <c r="G58" s="135"/>
      <c r="H58" s="136"/>
      <c r="I58" s="135"/>
      <c r="J58" s="147"/>
    </row>
    <row r="59" spans="1:12" ht="15" customHeight="1">
      <c r="A59" s="137"/>
      <c r="B59" s="61">
        <v>1</v>
      </c>
      <c r="C59" s="60" t="s">
        <v>1202</v>
      </c>
      <c r="D59" s="60"/>
      <c r="E59" s="60"/>
      <c r="F59" s="60"/>
      <c r="G59" s="60"/>
      <c r="H59" s="138" t="s">
        <v>1203</v>
      </c>
      <c r="I59" s="60" t="s">
        <v>1204</v>
      </c>
      <c r="J59" s="146"/>
    </row>
    <row r="60" spans="1:12" ht="15" customHeight="1">
      <c r="A60" s="137"/>
      <c r="B60" s="61">
        <v>2</v>
      </c>
      <c r="C60" s="60" t="s">
        <v>1205</v>
      </c>
      <c r="D60" s="60"/>
      <c r="E60" s="60"/>
      <c r="F60" s="60"/>
      <c r="G60" s="60"/>
      <c r="H60" s="138" t="s">
        <v>1203</v>
      </c>
      <c r="I60" s="60" t="s">
        <v>1204</v>
      </c>
      <c r="J60" s="146"/>
    </row>
    <row r="61" spans="1:12" ht="15" customHeight="1">
      <c r="A61" s="137"/>
      <c r="B61" s="61">
        <v>3</v>
      </c>
      <c r="C61" s="60" t="s">
        <v>1206</v>
      </c>
      <c r="D61" s="60"/>
      <c r="E61" s="60"/>
      <c r="F61" s="60"/>
      <c r="G61" s="60"/>
      <c r="H61" s="138" t="s">
        <v>1203</v>
      </c>
      <c r="I61" s="60" t="s">
        <v>1204</v>
      </c>
      <c r="J61" s="146"/>
    </row>
    <row r="62" spans="1:12" ht="15" customHeight="1">
      <c r="A62" s="137"/>
      <c r="B62" s="61">
        <v>4</v>
      </c>
      <c r="C62" s="60" t="s">
        <v>1207</v>
      </c>
      <c r="D62" s="60"/>
      <c r="E62" s="60"/>
      <c r="F62" s="60"/>
      <c r="G62" s="60"/>
      <c r="H62" s="138" t="s">
        <v>1203</v>
      </c>
      <c r="I62" s="60" t="s">
        <v>1204</v>
      </c>
      <c r="J62" s="146"/>
    </row>
    <row r="63" spans="1:12" ht="15" customHeight="1">
      <c r="A63" s="137"/>
      <c r="B63" s="61">
        <v>5</v>
      </c>
      <c r="C63" s="60" t="s">
        <v>1208</v>
      </c>
      <c r="D63" s="60"/>
      <c r="E63" s="60"/>
      <c r="F63" s="60"/>
      <c r="G63" s="60"/>
      <c r="H63" s="138" t="s">
        <v>1203</v>
      </c>
      <c r="I63" s="60" t="s">
        <v>1204</v>
      </c>
      <c r="J63" s="146"/>
    </row>
    <row r="64" spans="1:12" ht="15" customHeight="1">
      <c r="A64" s="137"/>
      <c r="B64" s="61">
        <v>6</v>
      </c>
      <c r="C64" s="60" t="s">
        <v>1209</v>
      </c>
      <c r="D64" s="60"/>
      <c r="E64" s="60"/>
      <c r="F64" s="60"/>
      <c r="G64" s="60"/>
      <c r="H64" s="138" t="s">
        <v>1203</v>
      </c>
      <c r="I64" s="60" t="s">
        <v>1204</v>
      </c>
      <c r="J64" s="146"/>
    </row>
    <row r="65" spans="1:10" ht="28.5" customHeight="1">
      <c r="A65" s="139" t="s">
        <v>285</v>
      </c>
      <c r="B65" s="1301" t="s">
        <v>1210</v>
      </c>
      <c r="C65" s="1301"/>
      <c r="D65" s="1301"/>
      <c r="E65" s="1301"/>
      <c r="F65" s="1301"/>
      <c r="G65" s="1301"/>
      <c r="H65" s="140"/>
      <c r="I65" s="148"/>
      <c r="J65" s="149"/>
    </row>
    <row r="66" spans="1:10" ht="15" customHeight="1">
      <c r="A66" s="137"/>
      <c r="B66" s="61">
        <v>1</v>
      </c>
      <c r="C66" s="60" t="s">
        <v>1211</v>
      </c>
      <c r="D66" s="60"/>
      <c r="E66" s="60"/>
      <c r="F66" s="60"/>
      <c r="G66" s="60"/>
      <c r="H66" s="138" t="s">
        <v>1203</v>
      </c>
      <c r="I66" s="60" t="s">
        <v>1204</v>
      </c>
      <c r="J66" s="146"/>
    </row>
    <row r="67" spans="1:10" ht="15" customHeight="1">
      <c r="A67" s="137"/>
      <c r="B67" s="61">
        <v>2</v>
      </c>
      <c r="C67" s="60" t="s">
        <v>1211</v>
      </c>
      <c r="D67" s="60"/>
      <c r="E67" s="60"/>
      <c r="F67" s="60"/>
      <c r="G67" s="60"/>
      <c r="H67" s="138" t="s">
        <v>1212</v>
      </c>
      <c r="I67" s="60" t="s">
        <v>1213</v>
      </c>
      <c r="J67" s="146"/>
    </row>
    <row r="68" spans="1:10" ht="15" customHeight="1">
      <c r="A68" s="141"/>
      <c r="B68" s="142">
        <v>3</v>
      </c>
      <c r="C68" s="143" t="s">
        <v>1211</v>
      </c>
      <c r="D68" s="143"/>
      <c r="E68" s="143"/>
      <c r="F68" s="143"/>
      <c r="G68" s="143"/>
      <c r="H68" s="144" t="s">
        <v>1212</v>
      </c>
      <c r="I68" s="143" t="s">
        <v>1213</v>
      </c>
      <c r="J68" s="150"/>
    </row>
    <row r="69" spans="1:10" ht="15" customHeight="1">
      <c r="A69" s="137" t="s">
        <v>288</v>
      </c>
      <c r="B69" s="60" t="s">
        <v>1214</v>
      </c>
      <c r="C69" s="60"/>
      <c r="D69" s="60"/>
      <c r="E69" s="60"/>
      <c r="F69" s="60"/>
      <c r="G69" s="60"/>
      <c r="H69" s="138"/>
      <c r="I69" s="60"/>
      <c r="J69" s="45"/>
    </row>
    <row r="70" spans="1:10" ht="15" customHeight="1">
      <c r="A70" s="137"/>
      <c r="B70" s="61">
        <v>1</v>
      </c>
      <c r="C70" s="60" t="s">
        <v>1215</v>
      </c>
      <c r="D70" s="60"/>
      <c r="E70" s="60"/>
      <c r="F70" s="60"/>
      <c r="G70" s="60"/>
      <c r="H70" s="138" t="s">
        <v>1203</v>
      </c>
      <c r="I70" s="60" t="s">
        <v>1204</v>
      </c>
      <c r="J70" s="146"/>
    </row>
    <row r="71" spans="1:10" ht="15" customHeight="1">
      <c r="A71" s="137"/>
      <c r="B71" s="61">
        <v>2</v>
      </c>
      <c r="C71" s="60" t="s">
        <v>1216</v>
      </c>
      <c r="D71" s="60"/>
      <c r="E71" s="60"/>
      <c r="F71" s="60"/>
      <c r="G71" s="60"/>
      <c r="H71" s="138" t="s">
        <v>1203</v>
      </c>
      <c r="I71" s="60" t="s">
        <v>1204</v>
      </c>
      <c r="J71" s="146"/>
    </row>
    <row r="72" spans="1:10" ht="15" customHeight="1">
      <c r="A72" s="137"/>
      <c r="B72" s="61">
        <v>3</v>
      </c>
      <c r="C72" s="60" t="s">
        <v>1217</v>
      </c>
      <c r="D72" s="60"/>
      <c r="E72" s="60"/>
      <c r="F72" s="60"/>
      <c r="G72" s="60"/>
      <c r="H72" s="138" t="s">
        <v>1203</v>
      </c>
      <c r="I72" s="60" t="s">
        <v>1204</v>
      </c>
      <c r="J72" s="146"/>
    </row>
    <row r="73" spans="1:10" ht="15" customHeight="1">
      <c r="A73" s="137"/>
      <c r="B73" s="61">
        <v>4</v>
      </c>
      <c r="C73" s="60" t="s">
        <v>1218</v>
      </c>
      <c r="D73" s="60"/>
      <c r="E73" s="60"/>
      <c r="F73" s="60"/>
      <c r="G73" s="60"/>
      <c r="H73" s="138" t="s">
        <v>1203</v>
      </c>
      <c r="I73" s="60" t="s">
        <v>1204</v>
      </c>
      <c r="J73" s="146"/>
    </row>
    <row r="74" spans="1:10" ht="15" customHeight="1">
      <c r="A74" s="137"/>
      <c r="B74" s="61">
        <v>5</v>
      </c>
      <c r="C74" s="60" t="s">
        <v>1219</v>
      </c>
      <c r="D74" s="60"/>
      <c r="E74" s="60"/>
      <c r="F74" s="60"/>
      <c r="G74" s="60"/>
      <c r="H74" s="138" t="s">
        <v>1203</v>
      </c>
      <c r="I74" s="60" t="s">
        <v>1204</v>
      </c>
      <c r="J74" s="146"/>
    </row>
    <row r="75" spans="1:10" ht="15" customHeight="1">
      <c r="A75" s="137"/>
      <c r="B75" s="61">
        <v>6</v>
      </c>
      <c r="C75" s="60" t="s">
        <v>1220</v>
      </c>
      <c r="D75" s="60"/>
      <c r="E75" s="60"/>
      <c r="F75" s="60"/>
      <c r="G75" s="60"/>
      <c r="H75" s="138" t="s">
        <v>1212</v>
      </c>
      <c r="I75" s="60" t="s">
        <v>1213</v>
      </c>
      <c r="J75" s="146"/>
    </row>
    <row r="76" spans="1:10" ht="15" customHeight="1">
      <c r="A76" s="137"/>
      <c r="B76" s="61">
        <v>7</v>
      </c>
      <c r="C76" s="60" t="s">
        <v>1221</v>
      </c>
      <c r="D76" s="60"/>
      <c r="E76" s="60"/>
      <c r="F76" s="60"/>
      <c r="G76" s="60"/>
      <c r="H76" s="138" t="s">
        <v>1212</v>
      </c>
      <c r="I76" s="60" t="s">
        <v>1213</v>
      </c>
      <c r="J76" s="146"/>
    </row>
    <row r="77" spans="1:10" ht="15" customHeight="1">
      <c r="A77" s="137"/>
      <c r="B77" s="61">
        <v>8</v>
      </c>
      <c r="C77" s="60" t="s">
        <v>1222</v>
      </c>
      <c r="D77" s="60"/>
      <c r="E77" s="60"/>
      <c r="F77" s="60"/>
      <c r="G77" s="60"/>
      <c r="H77" s="138" t="s">
        <v>1203</v>
      </c>
      <c r="I77" s="60" t="s">
        <v>1204</v>
      </c>
      <c r="J77" s="146"/>
    </row>
    <row r="78" spans="1:10" ht="15" customHeight="1">
      <c r="A78" s="137"/>
      <c r="B78" s="61">
        <v>9</v>
      </c>
      <c r="C78" s="60" t="s">
        <v>1223</v>
      </c>
      <c r="D78" s="60"/>
      <c r="E78" s="60"/>
      <c r="F78" s="60"/>
      <c r="G78" s="60"/>
      <c r="H78" s="144" t="s">
        <v>1212</v>
      </c>
      <c r="I78" s="143" t="s">
        <v>1213</v>
      </c>
      <c r="J78" s="146"/>
    </row>
    <row r="79" spans="1:10" ht="15" customHeight="1">
      <c r="A79" s="139" t="s">
        <v>886</v>
      </c>
      <c r="B79" s="148" t="s">
        <v>1224</v>
      </c>
      <c r="C79" s="148"/>
      <c r="D79" s="148"/>
      <c r="E79" s="148"/>
      <c r="F79" s="148"/>
      <c r="G79" s="148"/>
      <c r="H79" s="140"/>
      <c r="I79" s="148"/>
      <c r="J79" s="149"/>
    </row>
    <row r="80" spans="1:10" ht="15" customHeight="1">
      <c r="A80" s="137"/>
      <c r="B80" s="61">
        <v>1</v>
      </c>
      <c r="C80" s="60" t="s">
        <v>961</v>
      </c>
      <c r="D80" s="60"/>
      <c r="E80" s="60"/>
      <c r="F80" s="60"/>
      <c r="G80" s="60"/>
      <c r="H80" s="138" t="s">
        <v>1203</v>
      </c>
      <c r="I80" s="60" t="s">
        <v>1204</v>
      </c>
      <c r="J80" s="146"/>
    </row>
    <row r="81" spans="1:10" ht="15" customHeight="1">
      <c r="A81" s="137"/>
      <c r="B81" s="61">
        <v>2</v>
      </c>
      <c r="C81" s="60" t="s">
        <v>1225</v>
      </c>
      <c r="D81" s="60"/>
      <c r="E81" s="60"/>
      <c r="F81" s="60"/>
      <c r="G81" s="60"/>
      <c r="H81" s="138" t="s">
        <v>1212</v>
      </c>
      <c r="I81" s="60" t="s">
        <v>1213</v>
      </c>
      <c r="J81" s="146"/>
    </row>
    <row r="82" spans="1:10" ht="15" customHeight="1">
      <c r="A82" s="137"/>
      <c r="B82" s="61">
        <v>3</v>
      </c>
      <c r="C82" s="60" t="s">
        <v>1226</v>
      </c>
      <c r="D82" s="60"/>
      <c r="E82" s="60"/>
      <c r="F82" s="60"/>
      <c r="G82" s="60"/>
      <c r="H82" s="138" t="s">
        <v>1203</v>
      </c>
      <c r="I82" s="60" t="s">
        <v>1204</v>
      </c>
      <c r="J82" s="146"/>
    </row>
    <row r="83" spans="1:10" ht="15" customHeight="1">
      <c r="A83" s="137"/>
      <c r="B83" s="61">
        <v>4</v>
      </c>
      <c r="C83" s="60" t="s">
        <v>1227</v>
      </c>
      <c r="D83" s="60"/>
      <c r="E83" s="60"/>
      <c r="F83" s="60"/>
      <c r="G83" s="60"/>
      <c r="H83" s="138" t="s">
        <v>1203</v>
      </c>
      <c r="I83" s="60" t="s">
        <v>1204</v>
      </c>
      <c r="J83" s="146"/>
    </row>
    <row r="84" spans="1:10" ht="15" customHeight="1">
      <c r="A84" s="137"/>
      <c r="B84" s="61">
        <v>5</v>
      </c>
      <c r="C84" s="60" t="s">
        <v>1228</v>
      </c>
      <c r="D84" s="60"/>
      <c r="E84" s="60"/>
      <c r="F84" s="60"/>
      <c r="G84" s="60"/>
      <c r="H84" s="138" t="s">
        <v>1212</v>
      </c>
      <c r="I84" s="60" t="s">
        <v>1213</v>
      </c>
      <c r="J84" s="146"/>
    </row>
    <row r="85" spans="1:10" ht="15" customHeight="1">
      <c r="A85" s="137"/>
      <c r="B85" s="61">
        <v>6</v>
      </c>
      <c r="C85" s="60" t="s">
        <v>1229</v>
      </c>
      <c r="D85" s="60"/>
      <c r="E85" s="60"/>
      <c r="F85" s="60"/>
      <c r="G85" s="60"/>
      <c r="H85" s="138" t="s">
        <v>1203</v>
      </c>
      <c r="I85" s="60" t="s">
        <v>1204</v>
      </c>
      <c r="J85" s="146"/>
    </row>
    <row r="86" spans="1:10" ht="15" customHeight="1">
      <c r="A86" s="137"/>
      <c r="B86" s="61">
        <v>7</v>
      </c>
      <c r="C86" s="60" t="s">
        <v>1230</v>
      </c>
      <c r="D86" s="60"/>
      <c r="E86" s="60"/>
      <c r="F86" s="60"/>
      <c r="G86" s="60"/>
      <c r="H86" s="138" t="s">
        <v>1212</v>
      </c>
      <c r="I86" s="60" t="s">
        <v>1213</v>
      </c>
      <c r="J86" s="146"/>
    </row>
    <row r="87" spans="1:10" ht="15" customHeight="1">
      <c r="A87" s="137"/>
      <c r="B87" s="61">
        <v>8</v>
      </c>
      <c r="C87" s="60" t="s">
        <v>1231</v>
      </c>
      <c r="D87" s="60"/>
      <c r="E87" s="60"/>
      <c r="F87" s="60"/>
      <c r="G87" s="60"/>
      <c r="H87" s="138" t="s">
        <v>1212</v>
      </c>
      <c r="I87" s="60" t="s">
        <v>1213</v>
      </c>
      <c r="J87" s="146"/>
    </row>
    <row r="88" spans="1:10" ht="15" customHeight="1">
      <c r="A88" s="141"/>
      <c r="B88" s="142">
        <v>9</v>
      </c>
      <c r="C88" s="143" t="s">
        <v>1232</v>
      </c>
      <c r="D88" s="143"/>
      <c r="E88" s="143"/>
      <c r="F88" s="143"/>
      <c r="G88" s="143"/>
      <c r="H88" s="144" t="s">
        <v>1212</v>
      </c>
      <c r="I88" s="143" t="s">
        <v>1213</v>
      </c>
      <c r="J88" s="150"/>
    </row>
    <row r="89" spans="1:10" ht="15" customHeight="1">
      <c r="A89" s="139" t="s">
        <v>906</v>
      </c>
      <c r="B89" s="148" t="s">
        <v>1233</v>
      </c>
      <c r="C89" s="148"/>
      <c r="D89" s="148"/>
      <c r="E89" s="148"/>
      <c r="F89" s="148"/>
      <c r="G89" s="148"/>
      <c r="H89" s="140"/>
      <c r="I89" s="148"/>
      <c r="J89" s="149"/>
    </row>
    <row r="90" spans="1:10" ht="30" customHeight="1">
      <c r="A90" s="137"/>
      <c r="B90" s="61">
        <v>1</v>
      </c>
      <c r="C90" s="871" t="s">
        <v>1234</v>
      </c>
      <c r="D90" s="871"/>
      <c r="E90" s="871"/>
      <c r="F90" s="871"/>
      <c r="G90" s="871"/>
      <c r="H90" s="138" t="s">
        <v>1235</v>
      </c>
      <c r="I90" s="60" t="s">
        <v>1213</v>
      </c>
      <c r="J90" s="146"/>
    </row>
    <row r="91" spans="1:10" ht="15" customHeight="1">
      <c r="A91" s="137"/>
      <c r="B91" s="61">
        <v>2</v>
      </c>
      <c r="C91" s="60" t="s">
        <v>148</v>
      </c>
      <c r="D91" s="60"/>
      <c r="E91" s="60"/>
      <c r="F91" s="60"/>
      <c r="G91" s="60"/>
      <c r="H91" s="138" t="s">
        <v>1203</v>
      </c>
      <c r="I91" s="60" t="s">
        <v>1204</v>
      </c>
      <c r="J91" s="146"/>
    </row>
    <row r="92" spans="1:10" ht="15" customHeight="1">
      <c r="A92" s="137"/>
      <c r="B92" s="61">
        <v>3</v>
      </c>
      <c r="C92" s="60" t="s">
        <v>1236</v>
      </c>
      <c r="D92" s="60"/>
      <c r="E92" s="60"/>
      <c r="F92" s="60"/>
      <c r="G92" s="60"/>
      <c r="H92" s="138" t="s">
        <v>1203</v>
      </c>
      <c r="I92" s="60" t="s">
        <v>1204</v>
      </c>
      <c r="J92" s="146"/>
    </row>
    <row r="93" spans="1:10" ht="15" customHeight="1">
      <c r="A93" s="137"/>
      <c r="B93" s="61">
        <v>4</v>
      </c>
      <c r="C93" s="60" t="s">
        <v>1237</v>
      </c>
      <c r="D93" s="60"/>
      <c r="E93" s="60"/>
      <c r="F93" s="60"/>
      <c r="G93" s="60"/>
      <c r="H93" s="138" t="s">
        <v>1212</v>
      </c>
      <c r="I93" s="60" t="s">
        <v>1213</v>
      </c>
      <c r="J93" s="146"/>
    </row>
    <row r="94" spans="1:10" ht="15" customHeight="1">
      <c r="A94" s="137"/>
      <c r="B94" s="61">
        <v>5</v>
      </c>
      <c r="C94" s="60" t="s">
        <v>1238</v>
      </c>
      <c r="D94" s="60"/>
      <c r="E94" s="60"/>
      <c r="F94" s="60"/>
      <c r="G94" s="60"/>
      <c r="H94" s="138" t="s">
        <v>1212</v>
      </c>
      <c r="I94" s="60" t="s">
        <v>1213</v>
      </c>
      <c r="J94" s="146"/>
    </row>
    <row r="95" spans="1:10" ht="15" customHeight="1">
      <c r="A95" s="137"/>
      <c r="B95" s="61">
        <v>6</v>
      </c>
      <c r="C95" s="60" t="s">
        <v>1239</v>
      </c>
      <c r="D95" s="60"/>
      <c r="E95" s="60"/>
      <c r="F95" s="60"/>
      <c r="G95" s="60"/>
      <c r="H95" s="138" t="s">
        <v>1212</v>
      </c>
      <c r="I95" s="60" t="s">
        <v>1213</v>
      </c>
      <c r="J95" s="146"/>
    </row>
    <row r="96" spans="1:10" ht="15" customHeight="1">
      <c r="A96" s="137"/>
      <c r="B96" s="61">
        <v>7</v>
      </c>
      <c r="C96" s="60" t="s">
        <v>1240</v>
      </c>
      <c r="D96" s="60"/>
      <c r="E96" s="60"/>
      <c r="F96" s="60"/>
      <c r="G96" s="60"/>
      <c r="H96" s="138" t="s">
        <v>1212</v>
      </c>
      <c r="I96" s="60" t="s">
        <v>1213</v>
      </c>
      <c r="J96" s="146"/>
    </row>
    <row r="97" spans="1:10" ht="15" customHeight="1">
      <c r="A97" s="141"/>
      <c r="B97" s="142">
        <v>8</v>
      </c>
      <c r="C97" s="143" t="s">
        <v>1241</v>
      </c>
      <c r="D97" s="143"/>
      <c r="E97" s="143"/>
      <c r="F97" s="143"/>
      <c r="G97" s="143"/>
      <c r="H97" s="138" t="s">
        <v>1212</v>
      </c>
      <c r="I97" s="143" t="s">
        <v>1213</v>
      </c>
      <c r="J97" s="150"/>
    </row>
    <row r="98" spans="1:10" ht="15" customHeight="1">
      <c r="A98" s="139" t="s">
        <v>917</v>
      </c>
      <c r="B98" s="148" t="s">
        <v>1242</v>
      </c>
      <c r="C98" s="148"/>
      <c r="D98" s="148"/>
      <c r="E98" s="148"/>
      <c r="F98" s="148"/>
      <c r="G98" s="148"/>
      <c r="H98" s="140"/>
      <c r="I98" s="148"/>
      <c r="J98" s="149"/>
    </row>
    <row r="99" spans="1:10" ht="15" customHeight="1">
      <c r="A99" s="137"/>
      <c r="B99" s="61">
        <v>1</v>
      </c>
      <c r="C99" s="60" t="s">
        <v>1243</v>
      </c>
      <c r="D99" s="60"/>
      <c r="E99" s="60"/>
      <c r="F99" s="60"/>
      <c r="G99" s="60"/>
      <c r="H99" s="138" t="s">
        <v>1203</v>
      </c>
      <c r="I99" s="60" t="s">
        <v>1204</v>
      </c>
      <c r="J99" s="146"/>
    </row>
    <row r="100" spans="1:10" ht="15" customHeight="1">
      <c r="A100" s="137"/>
      <c r="B100" s="61">
        <v>2</v>
      </c>
      <c r="C100" s="60" t="s">
        <v>1244</v>
      </c>
      <c r="D100" s="60"/>
      <c r="E100" s="60"/>
      <c r="F100" s="60"/>
      <c r="G100" s="60"/>
      <c r="H100" s="138" t="s">
        <v>1212</v>
      </c>
      <c r="I100" s="60" t="s">
        <v>1213</v>
      </c>
      <c r="J100" s="146"/>
    </row>
    <row r="101" spans="1:10" ht="15" customHeight="1">
      <c r="A101" s="137"/>
      <c r="B101" s="61">
        <v>3</v>
      </c>
      <c r="C101" s="60" t="s">
        <v>1245</v>
      </c>
      <c r="D101" s="60"/>
      <c r="E101" s="60"/>
      <c r="F101" s="60"/>
      <c r="G101" s="60"/>
      <c r="H101" s="138" t="s">
        <v>1212</v>
      </c>
      <c r="I101" s="60" t="s">
        <v>1213</v>
      </c>
      <c r="J101" s="146"/>
    </row>
    <row r="102" spans="1:10" ht="15" customHeight="1">
      <c r="A102" s="141"/>
      <c r="B102" s="142">
        <v>4</v>
      </c>
      <c r="C102" s="143" t="s">
        <v>1246</v>
      </c>
      <c r="D102" s="143"/>
      <c r="E102" s="143"/>
      <c r="F102" s="143"/>
      <c r="G102" s="143"/>
      <c r="H102" s="144" t="s">
        <v>1212</v>
      </c>
      <c r="I102" s="143" t="s">
        <v>1213</v>
      </c>
      <c r="J102" s="150"/>
    </row>
    <row r="103" spans="1:10" ht="15" customHeight="1">
      <c r="A103" s="137" t="s">
        <v>919</v>
      </c>
      <c r="B103" s="60" t="s">
        <v>1247</v>
      </c>
      <c r="C103" s="60"/>
      <c r="D103" s="60"/>
      <c r="E103" s="60"/>
      <c r="F103" s="60"/>
      <c r="G103" s="60"/>
      <c r="H103" s="138"/>
      <c r="I103" s="60"/>
      <c r="J103" s="45"/>
    </row>
    <row r="104" spans="1:10" ht="15" customHeight="1">
      <c r="A104" s="137"/>
      <c r="B104" s="61">
        <v>1</v>
      </c>
      <c r="C104" s="60" t="s">
        <v>1248</v>
      </c>
      <c r="D104" s="60"/>
      <c r="E104" s="60"/>
      <c r="F104" s="60"/>
      <c r="G104" s="60"/>
      <c r="H104" s="138" t="s">
        <v>1203</v>
      </c>
      <c r="I104" s="60" t="s">
        <v>1204</v>
      </c>
      <c r="J104" s="146"/>
    </row>
    <row r="105" spans="1:10" ht="15" customHeight="1">
      <c r="A105" s="137"/>
      <c r="B105" s="61">
        <v>2</v>
      </c>
      <c r="C105" s="60" t="s">
        <v>1249</v>
      </c>
      <c r="D105" s="60"/>
      <c r="E105" s="60"/>
      <c r="F105" s="60"/>
      <c r="G105" s="60"/>
      <c r="H105" s="138" t="s">
        <v>1203</v>
      </c>
      <c r="I105" s="60" t="s">
        <v>1204</v>
      </c>
      <c r="J105" s="146"/>
    </row>
    <row r="106" spans="1:10" ht="15" customHeight="1">
      <c r="A106" s="137"/>
      <c r="B106" s="61">
        <v>3</v>
      </c>
      <c r="C106" s="60" t="str">
        <f>"Penetapan "&amp;php_jab</f>
        <v>Penetapan Pejabat Pemeriksa Hasil Pekerjaan</v>
      </c>
      <c r="D106" s="60"/>
      <c r="E106" s="60"/>
      <c r="F106" s="60"/>
      <c r="G106" s="60"/>
      <c r="H106" s="138" t="s">
        <v>1203</v>
      </c>
      <c r="I106" s="60" t="s">
        <v>1204</v>
      </c>
      <c r="J106" s="146"/>
    </row>
    <row r="107" spans="1:10" ht="15" customHeight="1">
      <c r="A107" s="137"/>
      <c r="B107" s="61">
        <v>4</v>
      </c>
      <c r="C107" s="60" t="s">
        <v>1250</v>
      </c>
      <c r="D107" s="60"/>
      <c r="E107" s="60"/>
      <c r="F107" s="60"/>
      <c r="G107" s="60"/>
      <c r="H107" s="138" t="s">
        <v>1212</v>
      </c>
      <c r="I107" s="60" t="s">
        <v>1213</v>
      </c>
      <c r="J107" s="146"/>
    </row>
    <row r="108" spans="1:10" ht="15" customHeight="1">
      <c r="A108" s="137"/>
      <c r="B108" s="61">
        <v>5</v>
      </c>
      <c r="C108" s="60" t="s">
        <v>1251</v>
      </c>
      <c r="D108" s="60"/>
      <c r="E108" s="60"/>
      <c r="F108" s="60"/>
      <c r="G108" s="60"/>
      <c r="H108" s="138" t="s">
        <v>1212</v>
      </c>
      <c r="I108" s="60" t="s">
        <v>1213</v>
      </c>
      <c r="J108" s="146"/>
    </row>
    <row r="109" spans="1:10" ht="15" customHeight="1">
      <c r="A109" s="137"/>
      <c r="B109" s="61">
        <v>6</v>
      </c>
      <c r="C109" s="60" t="s">
        <v>1252</v>
      </c>
      <c r="D109" s="60"/>
      <c r="E109" s="60"/>
      <c r="F109" s="60"/>
      <c r="G109" s="60"/>
      <c r="H109" s="138" t="s">
        <v>1212</v>
      </c>
      <c r="I109" s="60" t="s">
        <v>1213</v>
      </c>
      <c r="J109" s="146"/>
    </row>
    <row r="110" spans="1:10" ht="29.25" customHeight="1">
      <c r="A110" s="132" t="s">
        <v>1253</v>
      </c>
      <c r="B110" s="1302" t="s">
        <v>1254</v>
      </c>
      <c r="C110" s="1302"/>
      <c r="D110" s="1302"/>
      <c r="E110" s="1302"/>
      <c r="F110" s="1302"/>
      <c r="G110" s="1302"/>
      <c r="H110" s="151" t="s">
        <v>1203</v>
      </c>
      <c r="I110" s="154" t="s">
        <v>1204</v>
      </c>
      <c r="J110" s="155"/>
    </row>
    <row r="111" spans="1:10" ht="29.1" customHeight="1">
      <c r="A111" s="137" t="s">
        <v>340</v>
      </c>
      <c r="B111" s="871" t="s">
        <v>1255</v>
      </c>
      <c r="C111" s="871"/>
      <c r="D111" s="871"/>
      <c r="E111" s="871"/>
      <c r="F111" s="871"/>
      <c r="G111" s="871"/>
      <c r="H111" s="138" t="s">
        <v>1203</v>
      </c>
      <c r="I111" s="60" t="s">
        <v>1204</v>
      </c>
      <c r="J111" s="45"/>
    </row>
    <row r="112" spans="1:10" ht="15" customHeight="1">
      <c r="A112" s="139" t="s">
        <v>1256</v>
      </c>
      <c r="B112" s="152" t="s">
        <v>1257</v>
      </c>
      <c r="C112" s="148"/>
      <c r="D112" s="148"/>
      <c r="E112" s="148"/>
      <c r="F112" s="148"/>
      <c r="G112" s="148"/>
      <c r="H112" s="140" t="s">
        <v>1212</v>
      </c>
      <c r="I112" s="148" t="s">
        <v>1213</v>
      </c>
      <c r="J112" s="156"/>
    </row>
    <row r="113" spans="1:10" ht="15" customHeight="1">
      <c r="A113" s="141"/>
      <c r="B113" s="142"/>
      <c r="C113" s="143"/>
      <c r="D113" s="143"/>
      <c r="E113" s="143"/>
      <c r="F113" s="143"/>
      <c r="G113" s="143"/>
      <c r="H113" s="153"/>
      <c r="I113" s="143"/>
      <c r="J113" s="150"/>
    </row>
    <row r="114" spans="1:10" ht="15" customHeight="1">
      <c r="A114" s="61"/>
      <c r="B114" s="61"/>
      <c r="C114" s="60"/>
      <c r="D114" s="60"/>
      <c r="E114" s="60"/>
      <c r="F114" s="60"/>
      <c r="G114" s="60"/>
      <c r="H114" s="60"/>
      <c r="I114" s="60"/>
      <c r="J114" s="60"/>
    </row>
  </sheetData>
  <mergeCells count="33">
    <mergeCell ref="B65:G65"/>
    <mergeCell ref="C90:G90"/>
    <mergeCell ref="B110:G110"/>
    <mergeCell ref="B111:G111"/>
    <mergeCell ref="A54:J54"/>
    <mergeCell ref="A48:J48"/>
    <mergeCell ref="A49:J49"/>
    <mergeCell ref="A50:J50"/>
    <mergeCell ref="A56:G56"/>
    <mergeCell ref="H56:J56"/>
    <mergeCell ref="H35:J35"/>
    <mergeCell ref="B41:G41"/>
    <mergeCell ref="H41:J41"/>
    <mergeCell ref="B36:G36"/>
    <mergeCell ref="H36:J36"/>
    <mergeCell ref="B28:G28"/>
    <mergeCell ref="H28:J28"/>
    <mergeCell ref="H29:J29"/>
    <mergeCell ref="H31:J31"/>
    <mergeCell ref="H33:J33"/>
    <mergeCell ref="A7:J7"/>
    <mergeCell ref="F18:G18"/>
    <mergeCell ref="F19:J19"/>
    <mergeCell ref="A25:J25"/>
    <mergeCell ref="B27:G27"/>
    <mergeCell ref="H27:J27"/>
    <mergeCell ref="A9:J13"/>
    <mergeCell ref="A21:J23"/>
    <mergeCell ref="D1:J1"/>
    <mergeCell ref="D2:J2"/>
    <mergeCell ref="D3:J3"/>
    <mergeCell ref="A5:J5"/>
    <mergeCell ref="A6:J6"/>
  </mergeCells>
  <dataValidations count="2">
    <dataValidation type="list" allowBlank="1" showInputMessage="1" showErrorMessage="1" sqref="H59:H64 H66:H68 H70:H78 H80:H88 H90:H97 H99:H102 H104:H112" xr:uid="{00000000-0002-0000-1300-000000000000}">
      <formula1>"¨,ý,þ"</formula1>
    </dataValidation>
    <dataValidation type="list" allowBlank="1" sqref="I59:I64 I66:I68 I70:I78 I80:I88 I90:I97 I99:I102 I104:I112" xr:uid="{00000000-0002-0000-1300-000001000000}">
      <formula1>"Ada Dan Lengkap, Tidak Memenuhi, Tidak Lengkap, Tidak Ada, Tidak Diperlukan"</formula1>
    </dataValidation>
  </dataValidations>
  <hyperlinks>
    <hyperlink ref="K50" location="Input!A72" display="balik ke input" xr:uid="{00000000-0004-0000-1300-000000000000}"/>
    <hyperlink ref="K6" location="Input!A72" display="balik ke input" xr:uid="{00000000-0004-0000-1300-000001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rowBreaks count="2" manualBreakCount="2">
    <brk id="46" max="11" man="1"/>
    <brk id="88" max="9" man="1"/>
  </rowBreaks>
  <colBreaks count="1" manualBreakCount="1">
    <brk id="10" max="71"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tabColor rgb="FFFFC000"/>
  </sheetPr>
  <dimension ref="A1:Q75"/>
  <sheetViews>
    <sheetView view="pageBreakPreview" topLeftCell="A2" zoomScale="130" zoomScaleNormal="100" zoomScaleSheetLayoutView="130" workbookViewId="0">
      <selection activeCell="N50" sqref="N50"/>
    </sheetView>
  </sheetViews>
  <sheetFormatPr defaultColWidth="9" defaultRowHeight="14.25"/>
  <cols>
    <col min="1" max="2" width="3.6640625" style="18" customWidth="1"/>
    <col min="3" max="3" width="4.6640625" style="18" customWidth="1"/>
    <col min="4" max="4" width="6.53125" style="18" customWidth="1"/>
    <col min="5" max="5" width="1.86328125" style="18" customWidth="1"/>
    <col min="6" max="6" width="3.796875" style="18" customWidth="1"/>
    <col min="7" max="7" width="23.265625" style="18" customWidth="1"/>
    <col min="8" max="8" width="1.53125" style="18" customWidth="1"/>
    <col min="9" max="10" width="9.86328125" style="18" customWidth="1"/>
    <col min="11" max="11" width="10.796875" style="18" customWidth="1"/>
    <col min="12" max="12" width="10.06640625" style="18" customWidth="1"/>
    <col min="13" max="13" width="3.6640625" style="18" customWidth="1"/>
    <col min="14" max="15" width="15" style="18" customWidth="1"/>
    <col min="16" max="259" width="9" style="18"/>
    <col min="260" max="260" width="9.86328125" style="18" customWidth="1"/>
    <col min="261" max="261" width="2" style="18" customWidth="1"/>
    <col min="262" max="262" width="12.53125" style="18" customWidth="1"/>
    <col min="263" max="263" width="1.86328125" style="18" customWidth="1"/>
    <col min="264" max="264" width="2" style="18" customWidth="1"/>
    <col min="265" max="265" width="16" style="18" customWidth="1"/>
    <col min="266" max="266" width="26" style="18" customWidth="1"/>
    <col min="267" max="267" width="9" style="18"/>
    <col min="268" max="268" width="9" style="18" customWidth="1"/>
    <col min="269" max="515" width="9" style="18"/>
    <col min="516" max="516" width="9.86328125" style="18" customWidth="1"/>
    <col min="517" max="517" width="2" style="18" customWidth="1"/>
    <col min="518" max="518" width="12.53125" style="18" customWidth="1"/>
    <col min="519" max="519" width="1.86328125" style="18" customWidth="1"/>
    <col min="520" max="520" width="2" style="18" customWidth="1"/>
    <col min="521" max="521" width="16" style="18" customWidth="1"/>
    <col min="522" max="522" width="26" style="18" customWidth="1"/>
    <col min="523" max="523" width="9" style="18"/>
    <col min="524" max="524" width="9" style="18" customWidth="1"/>
    <col min="525" max="771" width="9" style="18"/>
    <col min="772" max="772" width="9.86328125" style="18" customWidth="1"/>
    <col min="773" max="773" width="2" style="18" customWidth="1"/>
    <col min="774" max="774" width="12.53125" style="18" customWidth="1"/>
    <col min="775" max="775" width="1.86328125" style="18" customWidth="1"/>
    <col min="776" max="776" width="2" style="18" customWidth="1"/>
    <col min="777" max="777" width="16" style="18" customWidth="1"/>
    <col min="778" max="778" width="26" style="18" customWidth="1"/>
    <col min="779" max="779" width="9" style="18"/>
    <col min="780" max="780" width="9" style="18" customWidth="1"/>
    <col min="781" max="1027" width="9" style="18"/>
    <col min="1028" max="1028" width="9.86328125" style="18" customWidth="1"/>
    <col min="1029" max="1029" width="2" style="18" customWidth="1"/>
    <col min="1030" max="1030" width="12.53125" style="18" customWidth="1"/>
    <col min="1031" max="1031" width="1.86328125" style="18" customWidth="1"/>
    <col min="1032" max="1032" width="2" style="18" customWidth="1"/>
    <col min="1033" max="1033" width="16" style="18" customWidth="1"/>
    <col min="1034" max="1034" width="26" style="18" customWidth="1"/>
    <col min="1035" max="1035" width="9" style="18"/>
    <col min="1036" max="1036" width="9" style="18" customWidth="1"/>
    <col min="1037" max="1283" width="9" style="18"/>
    <col min="1284" max="1284" width="9.86328125" style="18" customWidth="1"/>
    <col min="1285" max="1285" width="2" style="18" customWidth="1"/>
    <col min="1286" max="1286" width="12.53125" style="18" customWidth="1"/>
    <col min="1287" max="1287" width="1.86328125" style="18" customWidth="1"/>
    <col min="1288" max="1288" width="2" style="18" customWidth="1"/>
    <col min="1289" max="1289" width="16" style="18" customWidth="1"/>
    <col min="1290" max="1290" width="26" style="18" customWidth="1"/>
    <col min="1291" max="1291" width="9" style="18"/>
    <col min="1292" max="1292" width="9" style="18" customWidth="1"/>
    <col min="1293" max="1539" width="9" style="18"/>
    <col min="1540" max="1540" width="9.86328125" style="18" customWidth="1"/>
    <col min="1541" max="1541" width="2" style="18" customWidth="1"/>
    <col min="1542" max="1542" width="12.53125" style="18" customWidth="1"/>
    <col min="1543" max="1543" width="1.86328125" style="18" customWidth="1"/>
    <col min="1544" max="1544" width="2" style="18" customWidth="1"/>
    <col min="1545" max="1545" width="16" style="18" customWidth="1"/>
    <col min="1546" max="1546" width="26" style="18" customWidth="1"/>
    <col min="1547" max="1547" width="9" style="18"/>
    <col min="1548" max="1548" width="9" style="18" customWidth="1"/>
    <col min="1549" max="1795" width="9" style="18"/>
    <col min="1796" max="1796" width="9.86328125" style="18" customWidth="1"/>
    <col min="1797" max="1797" width="2" style="18" customWidth="1"/>
    <col min="1798" max="1798" width="12.53125" style="18" customWidth="1"/>
    <col min="1799" max="1799" width="1.86328125" style="18" customWidth="1"/>
    <col min="1800" max="1800" width="2" style="18" customWidth="1"/>
    <col min="1801" max="1801" width="16" style="18" customWidth="1"/>
    <col min="1802" max="1802" width="26" style="18" customWidth="1"/>
    <col min="1803" max="1803" width="9" style="18"/>
    <col min="1804" max="1804" width="9" style="18" customWidth="1"/>
    <col min="1805" max="2051" width="9" style="18"/>
    <col min="2052" max="2052" width="9.86328125" style="18" customWidth="1"/>
    <col min="2053" max="2053" width="2" style="18" customWidth="1"/>
    <col min="2054" max="2054" width="12.53125" style="18" customWidth="1"/>
    <col min="2055" max="2055" width="1.86328125" style="18" customWidth="1"/>
    <col min="2056" max="2056" width="2" style="18" customWidth="1"/>
    <col min="2057" max="2057" width="16" style="18" customWidth="1"/>
    <col min="2058" max="2058" width="26" style="18" customWidth="1"/>
    <col min="2059" max="2059" width="9" style="18"/>
    <col min="2060" max="2060" width="9" style="18" customWidth="1"/>
    <col min="2061" max="2307" width="9" style="18"/>
    <col min="2308" max="2308" width="9.86328125" style="18" customWidth="1"/>
    <col min="2309" max="2309" width="2" style="18" customWidth="1"/>
    <col min="2310" max="2310" width="12.53125" style="18" customWidth="1"/>
    <col min="2311" max="2311" width="1.86328125" style="18" customWidth="1"/>
    <col min="2312" max="2312" width="2" style="18" customWidth="1"/>
    <col min="2313" max="2313" width="16" style="18" customWidth="1"/>
    <col min="2314" max="2314" width="26" style="18" customWidth="1"/>
    <col min="2315" max="2315" width="9" style="18"/>
    <col min="2316" max="2316" width="9" style="18" customWidth="1"/>
    <col min="2317" max="2563" width="9" style="18"/>
    <col min="2564" max="2564" width="9.86328125" style="18" customWidth="1"/>
    <col min="2565" max="2565" width="2" style="18" customWidth="1"/>
    <col min="2566" max="2566" width="12.53125" style="18" customWidth="1"/>
    <col min="2567" max="2567" width="1.86328125" style="18" customWidth="1"/>
    <col min="2568" max="2568" width="2" style="18" customWidth="1"/>
    <col min="2569" max="2569" width="16" style="18" customWidth="1"/>
    <col min="2570" max="2570" width="26" style="18" customWidth="1"/>
    <col min="2571" max="2571" width="9" style="18"/>
    <col min="2572" max="2572" width="9" style="18" customWidth="1"/>
    <col min="2573" max="2819" width="9" style="18"/>
    <col min="2820" max="2820" width="9.86328125" style="18" customWidth="1"/>
    <col min="2821" max="2821" width="2" style="18" customWidth="1"/>
    <col min="2822" max="2822" width="12.53125" style="18" customWidth="1"/>
    <col min="2823" max="2823" width="1.86328125" style="18" customWidth="1"/>
    <col min="2824" max="2824" width="2" style="18" customWidth="1"/>
    <col min="2825" max="2825" width="16" style="18" customWidth="1"/>
    <col min="2826" max="2826" width="26" style="18" customWidth="1"/>
    <col min="2827" max="2827" width="9" style="18"/>
    <col min="2828" max="2828" width="9" style="18" customWidth="1"/>
    <col min="2829" max="3075" width="9" style="18"/>
    <col min="3076" max="3076" width="9.86328125" style="18" customWidth="1"/>
    <col min="3077" max="3077" width="2" style="18" customWidth="1"/>
    <col min="3078" max="3078" width="12.53125" style="18" customWidth="1"/>
    <col min="3079" max="3079" width="1.86328125" style="18" customWidth="1"/>
    <col min="3080" max="3080" width="2" style="18" customWidth="1"/>
    <col min="3081" max="3081" width="16" style="18" customWidth="1"/>
    <col min="3082" max="3082" width="26" style="18" customWidth="1"/>
    <col min="3083" max="3083" width="9" style="18"/>
    <col min="3084" max="3084" width="9" style="18" customWidth="1"/>
    <col min="3085" max="3331" width="9" style="18"/>
    <col min="3332" max="3332" width="9.86328125" style="18" customWidth="1"/>
    <col min="3333" max="3333" width="2" style="18" customWidth="1"/>
    <col min="3334" max="3334" width="12.53125" style="18" customWidth="1"/>
    <col min="3335" max="3335" width="1.86328125" style="18" customWidth="1"/>
    <col min="3336" max="3336" width="2" style="18" customWidth="1"/>
    <col min="3337" max="3337" width="16" style="18" customWidth="1"/>
    <col min="3338" max="3338" width="26" style="18" customWidth="1"/>
    <col min="3339" max="3339" width="9" style="18"/>
    <col min="3340" max="3340" width="9" style="18" customWidth="1"/>
    <col min="3341" max="3587" width="9" style="18"/>
    <col min="3588" max="3588" width="9.86328125" style="18" customWidth="1"/>
    <col min="3589" max="3589" width="2" style="18" customWidth="1"/>
    <col min="3590" max="3590" width="12.53125" style="18" customWidth="1"/>
    <col min="3591" max="3591" width="1.86328125" style="18" customWidth="1"/>
    <col min="3592" max="3592" width="2" style="18" customWidth="1"/>
    <col min="3593" max="3593" width="16" style="18" customWidth="1"/>
    <col min="3594" max="3594" width="26" style="18" customWidth="1"/>
    <col min="3595" max="3595" width="9" style="18"/>
    <col min="3596" max="3596" width="9" style="18" customWidth="1"/>
    <col min="3597" max="3843" width="9" style="18"/>
    <col min="3844" max="3844" width="9.86328125" style="18" customWidth="1"/>
    <col min="3845" max="3845" width="2" style="18" customWidth="1"/>
    <col min="3846" max="3846" width="12.53125" style="18" customWidth="1"/>
    <col min="3847" max="3847" width="1.86328125" style="18" customWidth="1"/>
    <col min="3848" max="3848" width="2" style="18" customWidth="1"/>
    <col min="3849" max="3849" width="16" style="18" customWidth="1"/>
    <col min="3850" max="3850" width="26" style="18" customWidth="1"/>
    <col min="3851" max="3851" width="9" style="18"/>
    <col min="3852" max="3852" width="9" style="18" customWidth="1"/>
    <col min="3853" max="4099" width="9" style="18"/>
    <col min="4100" max="4100" width="9.86328125" style="18" customWidth="1"/>
    <col min="4101" max="4101" width="2" style="18" customWidth="1"/>
    <col min="4102" max="4102" width="12.53125" style="18" customWidth="1"/>
    <col min="4103" max="4103" width="1.86328125" style="18" customWidth="1"/>
    <col min="4104" max="4104" width="2" style="18" customWidth="1"/>
    <col min="4105" max="4105" width="16" style="18" customWidth="1"/>
    <col min="4106" max="4106" width="26" style="18" customWidth="1"/>
    <col min="4107" max="4107" width="9" style="18"/>
    <col min="4108" max="4108" width="9" style="18" customWidth="1"/>
    <col min="4109" max="4355" width="9" style="18"/>
    <col min="4356" max="4356" width="9.86328125" style="18" customWidth="1"/>
    <col min="4357" max="4357" width="2" style="18" customWidth="1"/>
    <col min="4358" max="4358" width="12.53125" style="18" customWidth="1"/>
    <col min="4359" max="4359" width="1.86328125" style="18" customWidth="1"/>
    <col min="4360" max="4360" width="2" style="18" customWidth="1"/>
    <col min="4361" max="4361" width="16" style="18" customWidth="1"/>
    <col min="4362" max="4362" width="26" style="18" customWidth="1"/>
    <col min="4363" max="4363" width="9" style="18"/>
    <col min="4364" max="4364" width="9" style="18" customWidth="1"/>
    <col min="4365" max="4611" width="9" style="18"/>
    <col min="4612" max="4612" width="9.86328125" style="18" customWidth="1"/>
    <col min="4613" max="4613" width="2" style="18" customWidth="1"/>
    <col min="4614" max="4614" width="12.53125" style="18" customWidth="1"/>
    <col min="4615" max="4615" width="1.86328125" style="18" customWidth="1"/>
    <col min="4616" max="4616" width="2" style="18" customWidth="1"/>
    <col min="4617" max="4617" width="16" style="18" customWidth="1"/>
    <col min="4618" max="4618" width="26" style="18" customWidth="1"/>
    <col min="4619" max="4619" width="9" style="18"/>
    <col min="4620" max="4620" width="9" style="18" customWidth="1"/>
    <col min="4621" max="4867" width="9" style="18"/>
    <col min="4868" max="4868" width="9.86328125" style="18" customWidth="1"/>
    <col min="4869" max="4869" width="2" style="18" customWidth="1"/>
    <col min="4870" max="4870" width="12.53125" style="18" customWidth="1"/>
    <col min="4871" max="4871" width="1.86328125" style="18" customWidth="1"/>
    <col min="4872" max="4872" width="2" style="18" customWidth="1"/>
    <col min="4873" max="4873" width="16" style="18" customWidth="1"/>
    <col min="4874" max="4874" width="26" style="18" customWidth="1"/>
    <col min="4875" max="4875" width="9" style="18"/>
    <col min="4876" max="4876" width="9" style="18" customWidth="1"/>
    <col min="4877" max="5123" width="9" style="18"/>
    <col min="5124" max="5124" width="9.86328125" style="18" customWidth="1"/>
    <col min="5125" max="5125" width="2" style="18" customWidth="1"/>
    <col min="5126" max="5126" width="12.53125" style="18" customWidth="1"/>
    <col min="5127" max="5127" width="1.86328125" style="18" customWidth="1"/>
    <col min="5128" max="5128" width="2" style="18" customWidth="1"/>
    <col min="5129" max="5129" width="16" style="18" customWidth="1"/>
    <col min="5130" max="5130" width="26" style="18" customWidth="1"/>
    <col min="5131" max="5131" width="9" style="18"/>
    <col min="5132" max="5132" width="9" style="18" customWidth="1"/>
    <col min="5133" max="5379" width="9" style="18"/>
    <col min="5380" max="5380" width="9.86328125" style="18" customWidth="1"/>
    <col min="5381" max="5381" width="2" style="18" customWidth="1"/>
    <col min="5382" max="5382" width="12.53125" style="18" customWidth="1"/>
    <col min="5383" max="5383" width="1.86328125" style="18" customWidth="1"/>
    <col min="5384" max="5384" width="2" style="18" customWidth="1"/>
    <col min="5385" max="5385" width="16" style="18" customWidth="1"/>
    <col min="5386" max="5386" width="26" style="18" customWidth="1"/>
    <col min="5387" max="5387" width="9" style="18"/>
    <col min="5388" max="5388" width="9" style="18" customWidth="1"/>
    <col min="5389" max="5635" width="9" style="18"/>
    <col min="5636" max="5636" width="9.86328125" style="18" customWidth="1"/>
    <col min="5637" max="5637" width="2" style="18" customWidth="1"/>
    <col min="5638" max="5638" width="12.53125" style="18" customWidth="1"/>
    <col min="5639" max="5639" width="1.86328125" style="18" customWidth="1"/>
    <col min="5640" max="5640" width="2" style="18" customWidth="1"/>
    <col min="5641" max="5641" width="16" style="18" customWidth="1"/>
    <col min="5642" max="5642" width="26" style="18" customWidth="1"/>
    <col min="5643" max="5643" width="9" style="18"/>
    <col min="5644" max="5644" width="9" style="18" customWidth="1"/>
    <col min="5645" max="5891" width="9" style="18"/>
    <col min="5892" max="5892" width="9.86328125" style="18" customWidth="1"/>
    <col min="5893" max="5893" width="2" style="18" customWidth="1"/>
    <col min="5894" max="5894" width="12.53125" style="18" customWidth="1"/>
    <col min="5895" max="5895" width="1.86328125" style="18" customWidth="1"/>
    <col min="5896" max="5896" width="2" style="18" customWidth="1"/>
    <col min="5897" max="5897" width="16" style="18" customWidth="1"/>
    <col min="5898" max="5898" width="26" style="18" customWidth="1"/>
    <col min="5899" max="5899" width="9" style="18"/>
    <col min="5900" max="5900" width="9" style="18" customWidth="1"/>
    <col min="5901" max="6147" width="9" style="18"/>
    <col min="6148" max="6148" width="9.86328125" style="18" customWidth="1"/>
    <col min="6149" max="6149" width="2" style="18" customWidth="1"/>
    <col min="6150" max="6150" width="12.53125" style="18" customWidth="1"/>
    <col min="6151" max="6151" width="1.86328125" style="18" customWidth="1"/>
    <col min="6152" max="6152" width="2" style="18" customWidth="1"/>
    <col min="6153" max="6153" width="16" style="18" customWidth="1"/>
    <col min="6154" max="6154" width="26" style="18" customWidth="1"/>
    <col min="6155" max="6155" width="9" style="18"/>
    <col min="6156" max="6156" width="9" style="18" customWidth="1"/>
    <col min="6157" max="6403" width="9" style="18"/>
    <col min="6404" max="6404" width="9.86328125" style="18" customWidth="1"/>
    <col min="6405" max="6405" width="2" style="18" customWidth="1"/>
    <col min="6406" max="6406" width="12.53125" style="18" customWidth="1"/>
    <col min="6407" max="6407" width="1.86328125" style="18" customWidth="1"/>
    <col min="6408" max="6408" width="2" style="18" customWidth="1"/>
    <col min="6409" max="6409" width="16" style="18" customWidth="1"/>
    <col min="6410" max="6410" width="26" style="18" customWidth="1"/>
    <col min="6411" max="6411" width="9" style="18"/>
    <col min="6412" max="6412" width="9" style="18" customWidth="1"/>
    <col min="6413" max="6659" width="9" style="18"/>
    <col min="6660" max="6660" width="9.86328125" style="18" customWidth="1"/>
    <col min="6661" max="6661" width="2" style="18" customWidth="1"/>
    <col min="6662" max="6662" width="12.53125" style="18" customWidth="1"/>
    <col min="6663" max="6663" width="1.86328125" style="18" customWidth="1"/>
    <col min="6664" max="6664" width="2" style="18" customWidth="1"/>
    <col min="6665" max="6665" width="16" style="18" customWidth="1"/>
    <col min="6666" max="6666" width="26" style="18" customWidth="1"/>
    <col min="6667" max="6667" width="9" style="18"/>
    <col min="6668" max="6668" width="9" style="18" customWidth="1"/>
    <col min="6669" max="6915" width="9" style="18"/>
    <col min="6916" max="6916" width="9.86328125" style="18" customWidth="1"/>
    <col min="6917" max="6917" width="2" style="18" customWidth="1"/>
    <col min="6918" max="6918" width="12.53125" style="18" customWidth="1"/>
    <col min="6919" max="6919" width="1.86328125" style="18" customWidth="1"/>
    <col min="6920" max="6920" width="2" style="18" customWidth="1"/>
    <col min="6921" max="6921" width="16" style="18" customWidth="1"/>
    <col min="6922" max="6922" width="26" style="18" customWidth="1"/>
    <col min="6923" max="6923" width="9" style="18"/>
    <col min="6924" max="6924" width="9" style="18" customWidth="1"/>
    <col min="6925" max="7171" width="9" style="18"/>
    <col min="7172" max="7172" width="9.86328125" style="18" customWidth="1"/>
    <col min="7173" max="7173" width="2" style="18" customWidth="1"/>
    <col min="7174" max="7174" width="12.53125" style="18" customWidth="1"/>
    <col min="7175" max="7175" width="1.86328125" style="18" customWidth="1"/>
    <col min="7176" max="7176" width="2" style="18" customWidth="1"/>
    <col min="7177" max="7177" width="16" style="18" customWidth="1"/>
    <col min="7178" max="7178" width="26" style="18" customWidth="1"/>
    <col min="7179" max="7179" width="9" style="18"/>
    <col min="7180" max="7180" width="9" style="18" customWidth="1"/>
    <col min="7181" max="7427" width="9" style="18"/>
    <col min="7428" max="7428" width="9.86328125" style="18" customWidth="1"/>
    <col min="7429" max="7429" width="2" style="18" customWidth="1"/>
    <col min="7430" max="7430" width="12.53125" style="18" customWidth="1"/>
    <col min="7431" max="7431" width="1.86328125" style="18" customWidth="1"/>
    <col min="7432" max="7432" width="2" style="18" customWidth="1"/>
    <col min="7433" max="7433" width="16" style="18" customWidth="1"/>
    <col min="7434" max="7434" width="26" style="18" customWidth="1"/>
    <col min="7435" max="7435" width="9" style="18"/>
    <col min="7436" max="7436" width="9" style="18" customWidth="1"/>
    <col min="7437" max="7683" width="9" style="18"/>
    <col min="7684" max="7684" width="9.86328125" style="18" customWidth="1"/>
    <col min="7685" max="7685" width="2" style="18" customWidth="1"/>
    <col min="7686" max="7686" width="12.53125" style="18" customWidth="1"/>
    <col min="7687" max="7687" width="1.86328125" style="18" customWidth="1"/>
    <col min="7688" max="7688" width="2" style="18" customWidth="1"/>
    <col min="7689" max="7689" width="16" style="18" customWidth="1"/>
    <col min="7690" max="7690" width="26" style="18" customWidth="1"/>
    <col min="7691" max="7691" width="9" style="18"/>
    <col min="7692" max="7692" width="9" style="18" customWidth="1"/>
    <col min="7693" max="7939" width="9" style="18"/>
    <col min="7940" max="7940" width="9.86328125" style="18" customWidth="1"/>
    <col min="7941" max="7941" width="2" style="18" customWidth="1"/>
    <col min="7942" max="7942" width="12.53125" style="18" customWidth="1"/>
    <col min="7943" max="7943" width="1.86328125" style="18" customWidth="1"/>
    <col min="7944" max="7944" width="2" style="18" customWidth="1"/>
    <col min="7945" max="7945" width="16" style="18" customWidth="1"/>
    <col min="7946" max="7946" width="26" style="18" customWidth="1"/>
    <col min="7947" max="7947" width="9" style="18"/>
    <col min="7948" max="7948" width="9" style="18" customWidth="1"/>
    <col min="7949" max="8195" width="9" style="18"/>
    <col min="8196" max="8196" width="9.86328125" style="18" customWidth="1"/>
    <col min="8197" max="8197" width="2" style="18" customWidth="1"/>
    <col min="8198" max="8198" width="12.53125" style="18" customWidth="1"/>
    <col min="8199" max="8199" width="1.86328125" style="18" customWidth="1"/>
    <col min="8200" max="8200" width="2" style="18" customWidth="1"/>
    <col min="8201" max="8201" width="16" style="18" customWidth="1"/>
    <col min="8202" max="8202" width="26" style="18" customWidth="1"/>
    <col min="8203" max="8203" width="9" style="18"/>
    <col min="8204" max="8204" width="9" style="18" customWidth="1"/>
    <col min="8205" max="8451" width="9" style="18"/>
    <col min="8452" max="8452" width="9.86328125" style="18" customWidth="1"/>
    <col min="8453" max="8453" width="2" style="18" customWidth="1"/>
    <col min="8454" max="8454" width="12.53125" style="18" customWidth="1"/>
    <col min="8455" max="8455" width="1.86328125" style="18" customWidth="1"/>
    <col min="8456" max="8456" width="2" style="18" customWidth="1"/>
    <col min="8457" max="8457" width="16" style="18" customWidth="1"/>
    <col min="8458" max="8458" width="26" style="18" customWidth="1"/>
    <col min="8459" max="8459" width="9" style="18"/>
    <col min="8460" max="8460" width="9" style="18" customWidth="1"/>
    <col min="8461" max="8707" width="9" style="18"/>
    <col min="8708" max="8708" width="9.86328125" style="18" customWidth="1"/>
    <col min="8709" max="8709" width="2" style="18" customWidth="1"/>
    <col min="8710" max="8710" width="12.53125" style="18" customWidth="1"/>
    <col min="8711" max="8711" width="1.86328125" style="18" customWidth="1"/>
    <col min="8712" max="8712" width="2" style="18" customWidth="1"/>
    <col min="8713" max="8713" width="16" style="18" customWidth="1"/>
    <col min="8714" max="8714" width="26" style="18" customWidth="1"/>
    <col min="8715" max="8715" width="9" style="18"/>
    <col min="8716" max="8716" width="9" style="18" customWidth="1"/>
    <col min="8717" max="8963" width="9" style="18"/>
    <col min="8964" max="8964" width="9.86328125" style="18" customWidth="1"/>
    <col min="8965" max="8965" width="2" style="18" customWidth="1"/>
    <col min="8966" max="8966" width="12.53125" style="18" customWidth="1"/>
    <col min="8967" max="8967" width="1.86328125" style="18" customWidth="1"/>
    <col min="8968" max="8968" width="2" style="18" customWidth="1"/>
    <col min="8969" max="8969" width="16" style="18" customWidth="1"/>
    <col min="8970" max="8970" width="26" style="18" customWidth="1"/>
    <col min="8971" max="8971" width="9" style="18"/>
    <col min="8972" max="8972" width="9" style="18" customWidth="1"/>
    <col min="8973" max="9219" width="9" style="18"/>
    <col min="9220" max="9220" width="9.86328125" style="18" customWidth="1"/>
    <col min="9221" max="9221" width="2" style="18" customWidth="1"/>
    <col min="9222" max="9222" width="12.53125" style="18" customWidth="1"/>
    <col min="9223" max="9223" width="1.86328125" style="18" customWidth="1"/>
    <col min="9224" max="9224" width="2" style="18" customWidth="1"/>
    <col min="9225" max="9225" width="16" style="18" customWidth="1"/>
    <col min="9226" max="9226" width="26" style="18" customWidth="1"/>
    <col min="9227" max="9227" width="9" style="18"/>
    <col min="9228" max="9228" width="9" style="18" customWidth="1"/>
    <col min="9229" max="9475" width="9" style="18"/>
    <col min="9476" max="9476" width="9.86328125" style="18" customWidth="1"/>
    <col min="9477" max="9477" width="2" style="18" customWidth="1"/>
    <col min="9478" max="9478" width="12.53125" style="18" customWidth="1"/>
    <col min="9479" max="9479" width="1.86328125" style="18" customWidth="1"/>
    <col min="9480" max="9480" width="2" style="18" customWidth="1"/>
    <col min="9481" max="9481" width="16" style="18" customWidth="1"/>
    <col min="9482" max="9482" width="26" style="18" customWidth="1"/>
    <col min="9483" max="9483" width="9" style="18"/>
    <col min="9484" max="9484" width="9" style="18" customWidth="1"/>
    <col min="9485" max="9731" width="9" style="18"/>
    <col min="9732" max="9732" width="9.86328125" style="18" customWidth="1"/>
    <col min="9733" max="9733" width="2" style="18" customWidth="1"/>
    <col min="9734" max="9734" width="12.53125" style="18" customWidth="1"/>
    <col min="9735" max="9735" width="1.86328125" style="18" customWidth="1"/>
    <col min="9736" max="9736" width="2" style="18" customWidth="1"/>
    <col min="9737" max="9737" width="16" style="18" customWidth="1"/>
    <col min="9738" max="9738" width="26" style="18" customWidth="1"/>
    <col min="9739" max="9739" width="9" style="18"/>
    <col min="9740" max="9740" width="9" style="18" customWidth="1"/>
    <col min="9741" max="9987" width="9" style="18"/>
    <col min="9988" max="9988" width="9.86328125" style="18" customWidth="1"/>
    <col min="9989" max="9989" width="2" style="18" customWidth="1"/>
    <col min="9990" max="9990" width="12.53125" style="18" customWidth="1"/>
    <col min="9991" max="9991" width="1.86328125" style="18" customWidth="1"/>
    <col min="9992" max="9992" width="2" style="18" customWidth="1"/>
    <col min="9993" max="9993" width="16" style="18" customWidth="1"/>
    <col min="9994" max="9994" width="26" style="18" customWidth="1"/>
    <col min="9995" max="9995" width="9" style="18"/>
    <col min="9996" max="9996" width="9" style="18" customWidth="1"/>
    <col min="9997" max="10243" width="9" style="18"/>
    <col min="10244" max="10244" width="9.86328125" style="18" customWidth="1"/>
    <col min="10245" max="10245" width="2" style="18" customWidth="1"/>
    <col min="10246" max="10246" width="12.53125" style="18" customWidth="1"/>
    <col min="10247" max="10247" width="1.86328125" style="18" customWidth="1"/>
    <col min="10248" max="10248" width="2" style="18" customWidth="1"/>
    <col min="10249" max="10249" width="16" style="18" customWidth="1"/>
    <col min="10250" max="10250" width="26" style="18" customWidth="1"/>
    <col min="10251" max="10251" width="9" style="18"/>
    <col min="10252" max="10252" width="9" style="18" customWidth="1"/>
    <col min="10253" max="10499" width="9" style="18"/>
    <col min="10500" max="10500" width="9.86328125" style="18" customWidth="1"/>
    <col min="10501" max="10501" width="2" style="18" customWidth="1"/>
    <col min="10502" max="10502" width="12.53125" style="18" customWidth="1"/>
    <col min="10503" max="10503" width="1.86328125" style="18" customWidth="1"/>
    <col min="10504" max="10504" width="2" style="18" customWidth="1"/>
    <col min="10505" max="10505" width="16" style="18" customWidth="1"/>
    <col min="10506" max="10506" width="26" style="18" customWidth="1"/>
    <col min="10507" max="10507" width="9" style="18"/>
    <col min="10508" max="10508" width="9" style="18" customWidth="1"/>
    <col min="10509" max="10755" width="9" style="18"/>
    <col min="10756" max="10756" width="9.86328125" style="18" customWidth="1"/>
    <col min="10757" max="10757" width="2" style="18" customWidth="1"/>
    <col min="10758" max="10758" width="12.53125" style="18" customWidth="1"/>
    <col min="10759" max="10759" width="1.86328125" style="18" customWidth="1"/>
    <col min="10760" max="10760" width="2" style="18" customWidth="1"/>
    <col min="10761" max="10761" width="16" style="18" customWidth="1"/>
    <col min="10762" max="10762" width="26" style="18" customWidth="1"/>
    <col min="10763" max="10763" width="9" style="18"/>
    <col min="10764" max="10764" width="9" style="18" customWidth="1"/>
    <col min="10765" max="11011" width="9" style="18"/>
    <col min="11012" max="11012" width="9.86328125" style="18" customWidth="1"/>
    <col min="11013" max="11013" width="2" style="18" customWidth="1"/>
    <col min="11014" max="11014" width="12.53125" style="18" customWidth="1"/>
    <col min="11015" max="11015" width="1.86328125" style="18" customWidth="1"/>
    <col min="11016" max="11016" width="2" style="18" customWidth="1"/>
    <col min="11017" max="11017" width="16" style="18" customWidth="1"/>
    <col min="11018" max="11018" width="26" style="18" customWidth="1"/>
    <col min="11019" max="11019" width="9" style="18"/>
    <col min="11020" max="11020" width="9" style="18" customWidth="1"/>
    <col min="11021" max="11267" width="9" style="18"/>
    <col min="11268" max="11268" width="9.86328125" style="18" customWidth="1"/>
    <col min="11269" max="11269" width="2" style="18" customWidth="1"/>
    <col min="11270" max="11270" width="12.53125" style="18" customWidth="1"/>
    <col min="11271" max="11271" width="1.86328125" style="18" customWidth="1"/>
    <col min="11272" max="11272" width="2" style="18" customWidth="1"/>
    <col min="11273" max="11273" width="16" style="18" customWidth="1"/>
    <col min="11274" max="11274" width="26" style="18" customWidth="1"/>
    <col min="11275" max="11275" width="9" style="18"/>
    <col min="11276" max="11276" width="9" style="18" customWidth="1"/>
    <col min="11277" max="11523" width="9" style="18"/>
    <col min="11524" max="11524" width="9.86328125" style="18" customWidth="1"/>
    <col min="11525" max="11525" width="2" style="18" customWidth="1"/>
    <col min="11526" max="11526" width="12.53125" style="18" customWidth="1"/>
    <col min="11527" max="11527" width="1.86328125" style="18" customWidth="1"/>
    <col min="11528" max="11528" width="2" style="18" customWidth="1"/>
    <col min="11529" max="11529" width="16" style="18" customWidth="1"/>
    <col min="11530" max="11530" width="26" style="18" customWidth="1"/>
    <col min="11531" max="11531" width="9" style="18"/>
    <col min="11532" max="11532" width="9" style="18" customWidth="1"/>
    <col min="11533" max="11779" width="9" style="18"/>
    <col min="11780" max="11780" width="9.86328125" style="18" customWidth="1"/>
    <col min="11781" max="11781" width="2" style="18" customWidth="1"/>
    <col min="11782" max="11782" width="12.53125" style="18" customWidth="1"/>
    <col min="11783" max="11783" width="1.86328125" style="18" customWidth="1"/>
    <col min="11784" max="11784" width="2" style="18" customWidth="1"/>
    <col min="11785" max="11785" width="16" style="18" customWidth="1"/>
    <col min="11786" max="11786" width="26" style="18" customWidth="1"/>
    <col min="11787" max="11787" width="9" style="18"/>
    <col min="11788" max="11788" width="9" style="18" customWidth="1"/>
    <col min="11789" max="12035" width="9" style="18"/>
    <col min="12036" max="12036" width="9.86328125" style="18" customWidth="1"/>
    <col min="12037" max="12037" width="2" style="18" customWidth="1"/>
    <col min="12038" max="12038" width="12.53125" style="18" customWidth="1"/>
    <col min="12039" max="12039" width="1.86328125" style="18" customWidth="1"/>
    <col min="12040" max="12040" width="2" style="18" customWidth="1"/>
    <col min="12041" max="12041" width="16" style="18" customWidth="1"/>
    <col min="12042" max="12042" width="26" style="18" customWidth="1"/>
    <col min="12043" max="12043" width="9" style="18"/>
    <col min="12044" max="12044" width="9" style="18" customWidth="1"/>
    <col min="12045" max="12291" width="9" style="18"/>
    <col min="12292" max="12292" width="9.86328125" style="18" customWidth="1"/>
    <col min="12293" max="12293" width="2" style="18" customWidth="1"/>
    <col min="12294" max="12294" width="12.53125" style="18" customWidth="1"/>
    <col min="12295" max="12295" width="1.86328125" style="18" customWidth="1"/>
    <col min="12296" max="12296" width="2" style="18" customWidth="1"/>
    <col min="12297" max="12297" width="16" style="18" customWidth="1"/>
    <col min="12298" max="12298" width="26" style="18" customWidth="1"/>
    <col min="12299" max="12299" width="9" style="18"/>
    <col min="12300" max="12300" width="9" style="18" customWidth="1"/>
    <col min="12301" max="12547" width="9" style="18"/>
    <col min="12548" max="12548" width="9.86328125" style="18" customWidth="1"/>
    <col min="12549" max="12549" width="2" style="18" customWidth="1"/>
    <col min="12550" max="12550" width="12.53125" style="18" customWidth="1"/>
    <col min="12551" max="12551" width="1.86328125" style="18" customWidth="1"/>
    <col min="12552" max="12552" width="2" style="18" customWidth="1"/>
    <col min="12553" max="12553" width="16" style="18" customWidth="1"/>
    <col min="12554" max="12554" width="26" style="18" customWidth="1"/>
    <col min="12555" max="12555" width="9" style="18"/>
    <col min="12556" max="12556" width="9" style="18" customWidth="1"/>
    <col min="12557" max="12803" width="9" style="18"/>
    <col min="12804" max="12804" width="9.86328125" style="18" customWidth="1"/>
    <col min="12805" max="12805" width="2" style="18" customWidth="1"/>
    <col min="12806" max="12806" width="12.53125" style="18" customWidth="1"/>
    <col min="12807" max="12807" width="1.86328125" style="18" customWidth="1"/>
    <col min="12808" max="12808" width="2" style="18" customWidth="1"/>
    <col min="12809" max="12809" width="16" style="18" customWidth="1"/>
    <col min="12810" max="12810" width="26" style="18" customWidth="1"/>
    <col min="12811" max="12811" width="9" style="18"/>
    <col min="12812" max="12812" width="9" style="18" customWidth="1"/>
    <col min="12813" max="13059" width="9" style="18"/>
    <col min="13060" max="13060" width="9.86328125" style="18" customWidth="1"/>
    <col min="13061" max="13061" width="2" style="18" customWidth="1"/>
    <col min="13062" max="13062" width="12.53125" style="18" customWidth="1"/>
    <col min="13063" max="13063" width="1.86328125" style="18" customWidth="1"/>
    <col min="13064" max="13064" width="2" style="18" customWidth="1"/>
    <col min="13065" max="13065" width="16" style="18" customWidth="1"/>
    <col min="13066" max="13066" width="26" style="18" customWidth="1"/>
    <col min="13067" max="13067" width="9" style="18"/>
    <col min="13068" max="13068" width="9" style="18" customWidth="1"/>
    <col min="13069" max="13315" width="9" style="18"/>
    <col min="13316" max="13316" width="9.86328125" style="18" customWidth="1"/>
    <col min="13317" max="13317" width="2" style="18" customWidth="1"/>
    <col min="13318" max="13318" width="12.53125" style="18" customWidth="1"/>
    <col min="13319" max="13319" width="1.86328125" style="18" customWidth="1"/>
    <col min="13320" max="13320" width="2" style="18" customWidth="1"/>
    <col min="13321" max="13321" width="16" style="18" customWidth="1"/>
    <col min="13322" max="13322" width="26" style="18" customWidth="1"/>
    <col min="13323" max="13323" width="9" style="18"/>
    <col min="13324" max="13324" width="9" style="18" customWidth="1"/>
    <col min="13325" max="13571" width="9" style="18"/>
    <col min="13572" max="13572" width="9.86328125" style="18" customWidth="1"/>
    <col min="13573" max="13573" width="2" style="18" customWidth="1"/>
    <col min="13574" max="13574" width="12.53125" style="18" customWidth="1"/>
    <col min="13575" max="13575" width="1.86328125" style="18" customWidth="1"/>
    <col min="13576" max="13576" width="2" style="18" customWidth="1"/>
    <col min="13577" max="13577" width="16" style="18" customWidth="1"/>
    <col min="13578" max="13578" width="26" style="18" customWidth="1"/>
    <col min="13579" max="13579" width="9" style="18"/>
    <col min="13580" max="13580" width="9" style="18" customWidth="1"/>
    <col min="13581" max="13827" width="9" style="18"/>
    <col min="13828" max="13828" width="9.86328125" style="18" customWidth="1"/>
    <col min="13829" max="13829" width="2" style="18" customWidth="1"/>
    <col min="13830" max="13830" width="12.53125" style="18" customWidth="1"/>
    <col min="13831" max="13831" width="1.86328125" style="18" customWidth="1"/>
    <col min="13832" max="13832" width="2" style="18" customWidth="1"/>
    <col min="13833" max="13833" width="16" style="18" customWidth="1"/>
    <col min="13834" max="13834" width="26" style="18" customWidth="1"/>
    <col min="13835" max="13835" width="9" style="18"/>
    <col min="13836" max="13836" width="9" style="18" customWidth="1"/>
    <col min="13837" max="14083" width="9" style="18"/>
    <col min="14084" max="14084" width="9.86328125" style="18" customWidth="1"/>
    <col min="14085" max="14085" width="2" style="18" customWidth="1"/>
    <col min="14086" max="14086" width="12.53125" style="18" customWidth="1"/>
    <col min="14087" max="14087" width="1.86328125" style="18" customWidth="1"/>
    <col min="14088" max="14088" width="2" style="18" customWidth="1"/>
    <col min="14089" max="14089" width="16" style="18" customWidth="1"/>
    <col min="14090" max="14090" width="26" style="18" customWidth="1"/>
    <col min="14091" max="14091" width="9" style="18"/>
    <col min="14092" max="14092" width="9" style="18" customWidth="1"/>
    <col min="14093" max="14339" width="9" style="18"/>
    <col min="14340" max="14340" width="9.86328125" style="18" customWidth="1"/>
    <col min="14341" max="14341" width="2" style="18" customWidth="1"/>
    <col min="14342" max="14342" width="12.53125" style="18" customWidth="1"/>
    <col min="14343" max="14343" width="1.86328125" style="18" customWidth="1"/>
    <col min="14344" max="14344" width="2" style="18" customWidth="1"/>
    <col min="14345" max="14345" width="16" style="18" customWidth="1"/>
    <col min="14346" max="14346" width="26" style="18" customWidth="1"/>
    <col min="14347" max="14347" width="9" style="18"/>
    <col min="14348" max="14348" width="9" style="18" customWidth="1"/>
    <col min="14349" max="14595" width="9" style="18"/>
    <col min="14596" max="14596" width="9.86328125" style="18" customWidth="1"/>
    <col min="14597" max="14597" width="2" style="18" customWidth="1"/>
    <col min="14598" max="14598" width="12.53125" style="18" customWidth="1"/>
    <col min="14599" max="14599" width="1.86328125" style="18" customWidth="1"/>
    <col min="14600" max="14600" width="2" style="18" customWidth="1"/>
    <col min="14601" max="14601" width="16" style="18" customWidth="1"/>
    <col min="14602" max="14602" width="26" style="18" customWidth="1"/>
    <col min="14603" max="14603" width="9" style="18"/>
    <col min="14604" max="14604" width="9" style="18" customWidth="1"/>
    <col min="14605" max="14851" width="9" style="18"/>
    <col min="14852" max="14852" width="9.86328125" style="18" customWidth="1"/>
    <col min="14853" max="14853" width="2" style="18" customWidth="1"/>
    <col min="14854" max="14854" width="12.53125" style="18" customWidth="1"/>
    <col min="14855" max="14855" width="1.86328125" style="18" customWidth="1"/>
    <col min="14856" max="14856" width="2" style="18" customWidth="1"/>
    <col min="14857" max="14857" width="16" style="18" customWidth="1"/>
    <col min="14858" max="14858" width="26" style="18" customWidth="1"/>
    <col min="14859" max="14859" width="9" style="18"/>
    <col min="14860" max="14860" width="9" style="18" customWidth="1"/>
    <col min="14861" max="15107" width="9" style="18"/>
    <col min="15108" max="15108" width="9.86328125" style="18" customWidth="1"/>
    <col min="15109" max="15109" width="2" style="18" customWidth="1"/>
    <col min="15110" max="15110" width="12.53125" style="18" customWidth="1"/>
    <col min="15111" max="15111" width="1.86328125" style="18" customWidth="1"/>
    <col min="15112" max="15112" width="2" style="18" customWidth="1"/>
    <col min="15113" max="15113" width="16" style="18" customWidth="1"/>
    <col min="15114" max="15114" width="26" style="18" customWidth="1"/>
    <col min="15115" max="15115" width="9" style="18"/>
    <col min="15116" max="15116" width="9" style="18" customWidth="1"/>
    <col min="15117" max="15363" width="9" style="18"/>
    <col min="15364" max="15364" width="9.86328125" style="18" customWidth="1"/>
    <col min="15365" max="15365" width="2" style="18" customWidth="1"/>
    <col min="15366" max="15366" width="12.53125" style="18" customWidth="1"/>
    <col min="15367" max="15367" width="1.86328125" style="18" customWidth="1"/>
    <col min="15368" max="15368" width="2" style="18" customWidth="1"/>
    <col min="15369" max="15369" width="16" style="18" customWidth="1"/>
    <col min="15370" max="15370" width="26" style="18" customWidth="1"/>
    <col min="15371" max="15371" width="9" style="18"/>
    <col min="15372" max="15372" width="9" style="18" customWidth="1"/>
    <col min="15373" max="15619" width="9" style="18"/>
    <col min="15620" max="15620" width="9.86328125" style="18" customWidth="1"/>
    <col min="15621" max="15621" width="2" style="18" customWidth="1"/>
    <col min="15622" max="15622" width="12.53125" style="18" customWidth="1"/>
    <col min="15623" max="15623" width="1.86328125" style="18" customWidth="1"/>
    <col min="15624" max="15624" width="2" style="18" customWidth="1"/>
    <col min="15625" max="15625" width="16" style="18" customWidth="1"/>
    <col min="15626" max="15626" width="26" style="18" customWidth="1"/>
    <col min="15627" max="15627" width="9" style="18"/>
    <col min="15628" max="15628" width="9" style="18" customWidth="1"/>
    <col min="15629" max="15875" width="9" style="18"/>
    <col min="15876" max="15876" width="9.86328125" style="18" customWidth="1"/>
    <col min="15877" max="15877" width="2" style="18" customWidth="1"/>
    <col min="15878" max="15878" width="12.53125" style="18" customWidth="1"/>
    <col min="15879" max="15879" width="1.86328125" style="18" customWidth="1"/>
    <col min="15880" max="15880" width="2" style="18" customWidth="1"/>
    <col min="15881" max="15881" width="16" style="18" customWidth="1"/>
    <col min="15882" max="15882" width="26" style="18" customWidth="1"/>
    <col min="15883" max="15883" width="9" style="18"/>
    <col min="15884" max="15884" width="9" style="18" customWidth="1"/>
    <col min="15885" max="16131" width="9" style="18"/>
    <col min="16132" max="16132" width="9.86328125" style="18" customWidth="1"/>
    <col min="16133" max="16133" width="2" style="18" customWidth="1"/>
    <col min="16134" max="16134" width="12.53125" style="18" customWidth="1"/>
    <col min="16135" max="16135" width="1.86328125" style="18" customWidth="1"/>
    <col min="16136" max="16136" width="2" style="18" customWidth="1"/>
    <col min="16137" max="16137" width="16" style="18" customWidth="1"/>
    <col min="16138" max="16138" width="26" style="18" customWidth="1"/>
    <col min="16139" max="16139" width="9" style="18"/>
    <col min="16140" max="16140" width="9" style="18" customWidth="1"/>
    <col min="16141" max="16384" width="9" style="18"/>
  </cols>
  <sheetData>
    <row r="1" spans="1:17" ht="19.350000000000001" customHeight="1">
      <c r="D1" s="866" t="str">
        <f>UPPER(opd_lok)</f>
        <v>PROVINSI NUSA TENGGARA BARAT</v>
      </c>
      <c r="E1" s="866"/>
      <c r="F1" s="866"/>
      <c r="G1" s="866"/>
      <c r="H1" s="866"/>
      <c r="I1" s="866"/>
      <c r="J1" s="866"/>
      <c r="K1" s="866"/>
      <c r="L1" s="866"/>
    </row>
    <row r="2" spans="1:17" ht="40.799999999999997" customHeight="1">
      <c r="D2" s="1291" t="str">
        <f>UPPER(opd_nama)</f>
        <v>BADAN PENGELOLAAN KEUANGAN DAN ASET DAERAH</v>
      </c>
      <c r="E2" s="1291"/>
      <c r="F2" s="1291"/>
      <c r="G2" s="1291"/>
      <c r="H2" s="1291"/>
      <c r="I2" s="1291"/>
      <c r="J2" s="1291"/>
      <c r="K2" s="1291"/>
      <c r="L2" s="1291"/>
    </row>
    <row r="3" spans="1:17" ht="17.850000000000001" customHeight="1">
      <c r="A3" s="24"/>
      <c r="B3" s="24"/>
      <c r="C3" s="24"/>
      <c r="D3" s="868" t="str">
        <f>opd_almt</f>
        <v>Jalan Pejanggik Nomor 14 Telp.( 0370 ) 627689, 625345 Fax: 627677</v>
      </c>
      <c r="E3" s="868"/>
      <c r="F3" s="868"/>
      <c r="G3" s="868"/>
      <c r="H3" s="868"/>
      <c r="I3" s="868"/>
      <c r="J3" s="868"/>
      <c r="K3" s="868"/>
      <c r="L3" s="868"/>
    </row>
    <row r="4" spans="1:17" ht="5.25" customHeight="1"/>
    <row r="5" spans="1:17" s="119" customFormat="1" ht="18" customHeight="1">
      <c r="A5" s="1304" t="s">
        <v>1258</v>
      </c>
      <c r="B5" s="1304"/>
      <c r="C5" s="1304"/>
      <c r="D5" s="1304"/>
      <c r="E5" s="1304"/>
      <c r="F5" s="1304"/>
      <c r="G5" s="1304"/>
      <c r="H5" s="1304"/>
      <c r="I5" s="1304"/>
      <c r="J5" s="1304"/>
      <c r="K5" s="1304"/>
      <c r="L5" s="1304"/>
      <c r="M5" s="127"/>
      <c r="N5" s="127"/>
      <c r="O5" s="127"/>
      <c r="P5" s="128"/>
    </row>
    <row r="6" spans="1:17" s="119" customFormat="1" ht="15" customHeight="1">
      <c r="A6" s="1166" t="str">
        <f>"Nomor : "&amp;Input!D108</f>
        <v>Nomor : 013/CDE/A/IX/758/2023</v>
      </c>
      <c r="B6" s="1166"/>
      <c r="C6" s="1166"/>
      <c r="D6" s="1166"/>
      <c r="E6" s="1166"/>
      <c r="F6" s="1166"/>
      <c r="G6" s="1166"/>
      <c r="H6" s="1166"/>
      <c r="I6" s="1166"/>
      <c r="J6" s="1166"/>
      <c r="K6" s="1166"/>
      <c r="L6" s="1166"/>
      <c r="M6" s="127"/>
      <c r="N6" s="129" t="s">
        <v>253</v>
      </c>
      <c r="O6" s="127"/>
      <c r="P6" s="128"/>
    </row>
    <row r="7" spans="1:17" s="119" customFormat="1" ht="15" customHeight="1">
      <c r="A7" s="120"/>
      <c r="B7" s="120"/>
      <c r="C7" s="120"/>
      <c r="D7" s="121"/>
      <c r="E7" s="120"/>
      <c r="F7" s="120"/>
      <c r="G7" s="120"/>
      <c r="H7" s="120"/>
      <c r="I7" s="120"/>
      <c r="J7" s="120"/>
      <c r="K7" s="120"/>
      <c r="L7" s="120"/>
      <c r="M7" s="127"/>
      <c r="N7" s="127"/>
      <c r="O7" s="127"/>
      <c r="P7" s="128"/>
    </row>
    <row r="8" spans="1:17" s="119" customFormat="1" ht="15" customHeight="1">
      <c r="A8" s="1305" t="str">
        <f>"Pada hari ini, "&amp;Input!$E$108&amp;" tanggal "&amp;Input!$H$108&amp;", kami yang bertanda tangan di bawah ini :"</f>
        <v>Pada hari ini, Senin tanggal 10 November 2025, kami yang bertanda tangan di bawah ini :</v>
      </c>
      <c r="B8" s="1305"/>
      <c r="C8" s="1305"/>
      <c r="D8" s="1305"/>
      <c r="E8" s="1305"/>
      <c r="F8" s="1305"/>
      <c r="G8" s="1305"/>
      <c r="H8" s="1305"/>
      <c r="I8" s="1305"/>
      <c r="J8" s="1305"/>
      <c r="K8" s="1305"/>
      <c r="L8" s="1305"/>
      <c r="M8" s="127"/>
      <c r="N8" s="127"/>
      <c r="O8" s="127"/>
      <c r="P8" s="128"/>
    </row>
    <row r="9" spans="1:17" s="119" customFormat="1" ht="15" customHeight="1">
      <c r="A9" s="120"/>
      <c r="B9" s="120"/>
      <c r="C9" s="120"/>
      <c r="D9" s="121"/>
      <c r="E9" s="120"/>
      <c r="F9" s="120"/>
      <c r="G9" s="120"/>
      <c r="H9" s="120"/>
      <c r="I9" s="120"/>
      <c r="J9" s="120"/>
      <c r="K9" s="120"/>
      <c r="L9" s="120"/>
      <c r="M9" s="127"/>
      <c r="N9" s="127"/>
      <c r="O9" s="127"/>
      <c r="P9" s="128"/>
    </row>
    <row r="10" spans="1:17" s="119" customFormat="1" ht="15" customHeight="1">
      <c r="A10" s="120" t="s">
        <v>1177</v>
      </c>
      <c r="B10" s="120" t="s">
        <v>37</v>
      </c>
      <c r="C10" s="120"/>
      <c r="D10" s="120"/>
      <c r="E10" s="113" t="s">
        <v>2</v>
      </c>
      <c r="F10" s="1284" t="str">
        <f>pa_nam</f>
        <v>Dr. H. Nursalim., S.Sos., M.M</v>
      </c>
      <c r="G10" s="1284"/>
      <c r="H10" s="1284"/>
      <c r="I10" s="1284"/>
      <c r="J10" s="1284"/>
      <c r="K10" s="1284"/>
      <c r="L10" s="1284"/>
      <c r="M10" s="127"/>
      <c r="N10" s="127"/>
      <c r="O10" s="127"/>
      <c r="P10" s="127"/>
      <c r="Q10" s="128"/>
    </row>
    <row r="11" spans="1:17" s="119" customFormat="1" ht="15" customHeight="1">
      <c r="A11" s="120"/>
      <c r="B11" s="120" t="s">
        <v>50</v>
      </c>
      <c r="C11" s="120"/>
      <c r="D11" s="120"/>
      <c r="E11" s="113" t="s">
        <v>2</v>
      </c>
      <c r="F11" s="1305" t="str">
        <f>pa_jab</f>
        <v>Kepala Badan Pengelolaan Keuangan dan Aset Daerah</v>
      </c>
      <c r="G11" s="1305"/>
      <c r="H11" s="1305"/>
      <c r="I11" s="1305"/>
      <c r="J11" s="1305"/>
      <c r="K11" s="1305"/>
      <c r="L11" s="1305"/>
      <c r="M11" s="130"/>
      <c r="N11" s="127"/>
      <c r="O11" s="127"/>
      <c r="P11" s="127"/>
      <c r="Q11" s="128"/>
    </row>
    <row r="12" spans="1:17" s="119" customFormat="1" ht="15" customHeight="1">
      <c r="A12" s="120"/>
      <c r="B12" s="120" t="s">
        <v>190</v>
      </c>
      <c r="C12" s="120"/>
      <c r="D12" s="120"/>
      <c r="E12" s="113" t="s">
        <v>2</v>
      </c>
      <c r="F12" s="1284" t="str">
        <f>opd_almt</f>
        <v>Jalan Pejanggik Nomor 14 Telp.( 0370 ) 627689, 625345 Fax: 627677</v>
      </c>
      <c r="G12" s="1284"/>
      <c r="H12" s="1284"/>
      <c r="I12" s="1284"/>
      <c r="J12" s="1284"/>
      <c r="K12" s="1284"/>
      <c r="L12" s="1284"/>
      <c r="M12" s="127"/>
      <c r="N12" s="127"/>
      <c r="O12" s="127"/>
      <c r="P12" s="127"/>
      <c r="Q12" s="128"/>
    </row>
    <row r="13" spans="1:17" s="119" customFormat="1" ht="15" customHeight="1">
      <c r="A13" s="120"/>
      <c r="B13" s="120"/>
      <c r="C13" s="120"/>
      <c r="D13" s="120"/>
      <c r="E13" s="113"/>
      <c r="F13" s="1306" t="str">
        <f>"Selanjutnya disebut "&amp;pa_sku</f>
        <v>Selanjutnya disebut Pengguna Anggaran</v>
      </c>
      <c r="G13" s="1306"/>
      <c r="H13" s="1306"/>
      <c r="I13" s="1306"/>
      <c r="J13" s="1306"/>
      <c r="K13" s="1306"/>
      <c r="L13" s="1306"/>
      <c r="M13" s="127"/>
      <c r="N13" s="127"/>
      <c r="O13" s="127"/>
      <c r="P13" s="127"/>
      <c r="Q13" s="128"/>
    </row>
    <row r="14" spans="1:17" s="119" customFormat="1" ht="15" customHeight="1">
      <c r="A14" s="120"/>
      <c r="B14" s="120"/>
      <c r="C14" s="120"/>
      <c r="D14" s="120"/>
      <c r="E14" s="113"/>
      <c r="F14" s="123"/>
      <c r="G14" s="123"/>
      <c r="H14" s="123"/>
      <c r="I14" s="123"/>
      <c r="J14" s="123"/>
      <c r="K14" s="123"/>
      <c r="L14" s="123"/>
      <c r="M14" s="127"/>
      <c r="N14" s="127"/>
      <c r="O14" s="127"/>
      <c r="P14" s="127"/>
      <c r="Q14" s="128"/>
    </row>
    <row r="15" spans="1:17" s="119" customFormat="1" ht="15" customHeight="1">
      <c r="A15" s="120" t="s">
        <v>1178</v>
      </c>
      <c r="B15" s="120" t="s">
        <v>37</v>
      </c>
      <c r="C15" s="120"/>
      <c r="D15" s="120"/>
      <c r="E15" s="113" t="s">
        <v>2</v>
      </c>
      <c r="F15" s="1284" t="str">
        <f>ppk_nama</f>
        <v>Ika Kurnia Mustika, ST, MT</v>
      </c>
      <c r="G15" s="1284"/>
      <c r="H15" s="1284"/>
      <c r="I15" s="1284"/>
      <c r="J15" s="1284"/>
      <c r="K15" s="1284"/>
      <c r="L15" s="1284"/>
      <c r="M15" s="127"/>
      <c r="N15" s="127"/>
      <c r="O15" s="127"/>
      <c r="P15" s="127"/>
      <c r="Q15" s="128"/>
    </row>
    <row r="16" spans="1:17" s="119" customFormat="1" ht="15" customHeight="1">
      <c r="A16" s="120"/>
      <c r="B16" s="120" t="s">
        <v>50</v>
      </c>
      <c r="C16" s="120"/>
      <c r="D16" s="120"/>
      <c r="E16" s="113" t="s">
        <v>2</v>
      </c>
      <c r="F16" s="1305" t="str">
        <f>ppk_jab</f>
        <v>Pejabat Pembuat Komitmen</v>
      </c>
      <c r="G16" s="1305"/>
      <c r="H16" s="1305"/>
      <c r="I16" s="1305"/>
      <c r="J16" s="1305"/>
      <c r="K16" s="1305"/>
      <c r="L16" s="1305"/>
      <c r="M16" s="130"/>
      <c r="N16" s="127"/>
      <c r="O16" s="127"/>
      <c r="P16" s="127"/>
      <c r="Q16" s="128"/>
    </row>
    <row r="17" spans="1:17" s="119" customFormat="1" ht="15" customHeight="1">
      <c r="A17" s="120"/>
      <c r="B17" s="120" t="s">
        <v>190</v>
      </c>
      <c r="C17" s="120"/>
      <c r="D17" s="120"/>
      <c r="E17" s="113" t="s">
        <v>2</v>
      </c>
      <c r="F17" s="1284" t="s">
        <v>1259</v>
      </c>
      <c r="G17" s="1284"/>
      <c r="H17" s="1284"/>
      <c r="I17" s="1284"/>
      <c r="J17" s="1284"/>
      <c r="K17" s="1284"/>
      <c r="L17" s="1284"/>
      <c r="M17" s="127"/>
      <c r="N17" s="127"/>
      <c r="O17" s="127"/>
      <c r="P17" s="127"/>
      <c r="Q17" s="128"/>
    </row>
    <row r="18" spans="1:17" s="119" customFormat="1" ht="15" customHeight="1">
      <c r="A18" s="120"/>
      <c r="B18" s="120"/>
      <c r="C18" s="120"/>
      <c r="D18" s="120"/>
      <c r="E18" s="121"/>
      <c r="F18" s="123" t="s">
        <v>1260</v>
      </c>
      <c r="G18" s="123"/>
      <c r="H18" s="123"/>
      <c r="I18" s="123"/>
      <c r="J18" s="123"/>
      <c r="K18" s="123"/>
      <c r="L18" s="123"/>
      <c r="M18" s="127"/>
      <c r="N18" s="127"/>
      <c r="O18" s="127"/>
      <c r="P18" s="127"/>
      <c r="Q18" s="128"/>
    </row>
    <row r="19" spans="1:17" s="119" customFormat="1" ht="15" customHeight="1">
      <c r="A19" s="120"/>
      <c r="B19" s="120"/>
      <c r="C19" s="120"/>
      <c r="D19" s="120"/>
      <c r="E19" s="120"/>
      <c r="F19" s="120"/>
      <c r="G19" s="120"/>
      <c r="H19" s="120"/>
      <c r="I19" s="120"/>
      <c r="J19" s="120"/>
      <c r="K19" s="120"/>
      <c r="L19" s="120"/>
      <c r="M19" s="127"/>
      <c r="N19" s="127"/>
      <c r="O19" s="127"/>
      <c r="P19" s="128"/>
    </row>
    <row r="20" spans="1:17" s="119" customFormat="1" ht="15" customHeight="1">
      <c r="A20" s="124" t="s">
        <v>1261</v>
      </c>
      <c r="B20" s="120"/>
      <c r="C20" s="120"/>
      <c r="D20" s="121"/>
      <c r="E20" s="120"/>
      <c r="F20" s="120"/>
      <c r="G20" s="120"/>
      <c r="H20" s="120"/>
      <c r="I20" s="120"/>
      <c r="J20" s="120"/>
      <c r="K20" s="120"/>
      <c r="L20" s="120"/>
      <c r="M20" s="127"/>
      <c r="N20" s="127"/>
      <c r="O20" s="127"/>
      <c r="P20" s="128"/>
    </row>
    <row r="21" spans="1:17" s="119" customFormat="1" ht="15" customHeight="1">
      <c r="A21" s="125" t="s">
        <v>419</v>
      </c>
      <c r="B21" s="1305" t="str">
        <f>"Berita Acara Pemeriksaan Hasil Pekerjaan nomor "&amp;Input!$D$102&amp;" tanggal "&amp;Input!$H$102&amp;";"</f>
        <v>Berita Acara Pemeriksaan Hasil Pekerjaan nomor 027/BAHP/A/IX/68/2023 tanggal 2 September 2023;</v>
      </c>
      <c r="C21" s="1305"/>
      <c r="D21" s="1305"/>
      <c r="E21" s="1305"/>
      <c r="F21" s="1305"/>
      <c r="G21" s="1305"/>
      <c r="H21" s="1305"/>
      <c r="I21" s="1305"/>
      <c r="J21" s="1305"/>
      <c r="K21" s="1305"/>
      <c r="L21" s="1305"/>
      <c r="M21" s="127"/>
      <c r="N21" s="127"/>
      <c r="O21" s="127"/>
      <c r="P21" s="128"/>
    </row>
    <row r="22" spans="1:17" s="119" customFormat="1" ht="31.25" customHeight="1">
      <c r="A22" s="125" t="s">
        <v>422</v>
      </c>
      <c r="B22" s="1307" t="str">
        <f>"Berita Acara Serah Terima Pekerjaan (BAST) nomor "&amp;Input!$D$103&amp;" tanggal "&amp;Input!$H$103&amp;";"</f>
        <v>Berita Acara Serah Terima Pekerjaan (BAST) nomor 027.3/17/STHP/BPKAD/2024 tanggal 2 September 2023;</v>
      </c>
      <c r="C22" s="1305"/>
      <c r="D22" s="1305"/>
      <c r="E22" s="1305"/>
      <c r="F22" s="1305"/>
      <c r="G22" s="1305"/>
      <c r="H22" s="1305"/>
      <c r="I22" s="1305"/>
      <c r="J22" s="1305"/>
      <c r="K22" s="1305"/>
      <c r="L22" s="1305"/>
      <c r="M22" s="127"/>
      <c r="N22" s="127"/>
      <c r="O22" s="127"/>
      <c r="P22" s="128"/>
    </row>
    <row r="23" spans="1:17" s="119" customFormat="1" ht="15" customHeight="1">
      <c r="A23" s="120"/>
      <c r="B23" s="120"/>
      <c r="C23" s="120"/>
      <c r="D23" s="121"/>
      <c r="E23" s="120"/>
      <c r="F23" s="120"/>
      <c r="G23" s="120"/>
      <c r="H23" s="120"/>
      <c r="I23" s="120"/>
      <c r="J23" s="120"/>
      <c r="K23" s="120"/>
      <c r="L23" s="120"/>
      <c r="M23" s="127"/>
      <c r="N23" s="127"/>
      <c r="O23" s="127"/>
      <c r="P23" s="128"/>
    </row>
    <row r="24" spans="1:17" s="119" customFormat="1" ht="15" customHeight="1">
      <c r="A24" s="1305" t="str">
        <f>"Dengan ini PPK dan Pengguna Anggaran telah setuju dan dapat melakukan Serah Terima Pekerjaan "&amp;paket&amp;" dengan ketentuan-ketentuan sebagai berikut :"</f>
        <v>Dengan ini PPK dan Pengguna Anggaran telah setuju dan dapat melakukan Serah Terima Pekerjaan Belanja Pemeliharaan Bangunan Gedung-Bangunan Gedung Tempat Kerja-Bangunan Gedung Kantor-Pemeliharaan Gedung Bertingkat dengan ketentuan-ketentuan sebagai berikut :</v>
      </c>
      <c r="B24" s="1305"/>
      <c r="C24" s="1305"/>
      <c r="D24" s="1305"/>
      <c r="E24" s="1305"/>
      <c r="F24" s="1305"/>
      <c r="G24" s="1305"/>
      <c r="H24" s="1305"/>
      <c r="I24" s="1305"/>
      <c r="J24" s="1305"/>
      <c r="K24" s="1305"/>
      <c r="L24" s="1305"/>
      <c r="M24" s="127"/>
      <c r="N24" s="127"/>
      <c r="O24" s="127"/>
      <c r="P24" s="128"/>
    </row>
    <row r="25" spans="1:17" s="119" customFormat="1" ht="15" customHeight="1">
      <c r="A25" s="1305"/>
      <c r="B25" s="1305"/>
      <c r="C25" s="1305"/>
      <c r="D25" s="1305"/>
      <c r="E25" s="1305"/>
      <c r="F25" s="1305"/>
      <c r="G25" s="1305"/>
      <c r="H25" s="1305"/>
      <c r="I25" s="1305"/>
      <c r="J25" s="1305"/>
      <c r="K25" s="1305"/>
      <c r="L25" s="1305"/>
      <c r="M25" s="127"/>
      <c r="N25" s="127"/>
      <c r="O25" s="127"/>
      <c r="P25" s="128"/>
    </row>
    <row r="26" spans="1:17" s="119" customFormat="1" ht="15" customHeight="1">
      <c r="A26" s="821" t="s">
        <v>419</v>
      </c>
      <c r="B26" s="1284" t="str">
        <f>"PPK menyerahkan kepada Pengguna Anggaran dan Pengguna Anggaran menerima dari PPK atas seluruh Pekerjaan :"</f>
        <v>PPK menyerahkan kepada Pengguna Anggaran dan Pengguna Anggaran menerima dari PPK atas seluruh Pekerjaan :</v>
      </c>
      <c r="C26" s="1284"/>
      <c r="D26" s="1284"/>
      <c r="E26" s="1284"/>
      <c r="F26" s="1284"/>
      <c r="G26" s="1284"/>
      <c r="H26" s="1284"/>
      <c r="I26" s="1284"/>
      <c r="J26" s="1284"/>
      <c r="K26" s="1284"/>
      <c r="L26" s="1284"/>
      <c r="M26" s="127"/>
      <c r="N26" s="127"/>
      <c r="O26" s="127"/>
      <c r="P26" s="128"/>
    </row>
    <row r="27" spans="1:17" s="119" customFormat="1" ht="15" customHeight="1">
      <c r="A27" s="120"/>
      <c r="B27" s="1284"/>
      <c r="C27" s="1284"/>
      <c r="D27" s="1284"/>
      <c r="E27" s="1284"/>
      <c r="F27" s="1284"/>
      <c r="G27" s="1284"/>
      <c r="H27" s="1284"/>
      <c r="I27" s="1284"/>
      <c r="J27" s="1284"/>
      <c r="K27" s="1284"/>
      <c r="L27" s="1284"/>
      <c r="M27" s="127"/>
      <c r="N27" s="127"/>
      <c r="O27" s="127"/>
      <c r="P27" s="128"/>
    </row>
    <row r="28" spans="1:17" s="119" customFormat="1" ht="15" customHeight="1">
      <c r="B28" s="123" t="s">
        <v>427</v>
      </c>
      <c r="C28" s="120" t="s">
        <v>1181</v>
      </c>
      <c r="D28" s="120"/>
      <c r="E28" s="113" t="s">
        <v>2</v>
      </c>
      <c r="F28" s="120" t="s">
        <v>1262</v>
      </c>
      <c r="G28" s="120"/>
      <c r="H28" s="120"/>
      <c r="I28" s="120"/>
      <c r="J28" s="120"/>
      <c r="K28" s="120"/>
      <c r="L28" s="120"/>
      <c r="M28" s="120"/>
      <c r="N28" s="127"/>
      <c r="O28" s="127"/>
      <c r="P28" s="127"/>
      <c r="Q28" s="128"/>
    </row>
    <row r="29" spans="1:17" s="119" customFormat="1" ht="15" customHeight="1">
      <c r="B29" s="123" t="s">
        <v>429</v>
      </c>
      <c r="C29" s="120" t="s">
        <v>295</v>
      </c>
      <c r="D29" s="120"/>
      <c r="E29" s="113" t="s">
        <v>2</v>
      </c>
      <c r="F29" s="1308" t="str">
        <f>paket</f>
        <v>Belanja Pemeliharaan Bangunan Gedung-Bangunan Gedung Tempat Kerja-Bangunan Gedung Kantor-Pemeliharaan Gedung Bertingkat</v>
      </c>
      <c r="G29" s="1308"/>
      <c r="H29" s="1308"/>
      <c r="I29" s="1308"/>
      <c r="J29" s="1308"/>
      <c r="K29" s="1308"/>
      <c r="L29" s="1308"/>
      <c r="M29" s="120"/>
      <c r="N29" s="127"/>
      <c r="O29" s="127"/>
      <c r="P29" s="127"/>
      <c r="Q29" s="128"/>
    </row>
    <row r="30" spans="1:17" s="119" customFormat="1" ht="15" customHeight="1">
      <c r="B30" s="123" t="s">
        <v>431</v>
      </c>
      <c r="C30" s="120" t="s">
        <v>14</v>
      </c>
      <c r="D30" s="120"/>
      <c r="E30" s="113" t="s">
        <v>2</v>
      </c>
      <c r="F30" s="120" t="str">
        <f>lokasi</f>
        <v>Mataram</v>
      </c>
      <c r="G30" s="120"/>
      <c r="H30" s="120"/>
      <c r="I30" s="120"/>
      <c r="J30" s="120"/>
      <c r="K30" s="120"/>
      <c r="L30" s="120"/>
      <c r="M30" s="120"/>
      <c r="N30" s="127"/>
      <c r="O30" s="127"/>
      <c r="P30" s="127"/>
      <c r="Q30" s="128"/>
    </row>
    <row r="31" spans="1:17" s="119" customFormat="1" ht="15" customHeight="1">
      <c r="B31" s="123" t="s">
        <v>433</v>
      </c>
      <c r="C31" s="120" t="s">
        <v>19</v>
      </c>
      <c r="D31" s="120"/>
      <c r="E31" s="113" t="s">
        <v>2</v>
      </c>
      <c r="F31" s="120" t="str">
        <f>"nomor "&amp;Input!$D$160&amp;" tanggal "&amp;Input!$D$161</f>
        <v>nomor DPA/A.1/5.02.0.00.0.00.02.0000/001/2025 tanggal 02 Januari 2025</v>
      </c>
      <c r="G31" s="120"/>
      <c r="H31" s="120"/>
      <c r="I31" s="120"/>
      <c r="J31" s="120"/>
      <c r="K31" s="120"/>
      <c r="L31" s="120"/>
      <c r="M31" s="120"/>
      <c r="N31" s="127"/>
      <c r="O31" s="127"/>
      <c r="P31" s="127"/>
      <c r="Q31" s="128"/>
    </row>
    <row r="32" spans="1:17" s="119" customFormat="1" ht="15" customHeight="1">
      <c r="B32" s="123" t="s">
        <v>496</v>
      </c>
      <c r="C32" s="120" t="s">
        <v>163</v>
      </c>
      <c r="D32" s="120"/>
      <c r="E32" s="113" t="s">
        <v>2</v>
      </c>
      <c r="F32" s="120" t="str">
        <f>bu_nama</f>
        <v>PT. DARUSSALAM MEDIA GROUP</v>
      </c>
      <c r="G32" s="120"/>
      <c r="H32" s="120"/>
      <c r="I32" s="120"/>
      <c r="J32" s="120"/>
      <c r="K32" s="120"/>
      <c r="L32" s="120"/>
      <c r="M32" s="120"/>
      <c r="N32" s="127"/>
      <c r="O32" s="127"/>
      <c r="P32" s="127"/>
      <c r="Q32" s="128"/>
    </row>
    <row r="33" spans="1:17" s="119" customFormat="1" ht="15" customHeight="1">
      <c r="B33" s="123" t="s">
        <v>498</v>
      </c>
      <c r="C33" s="120" t="s">
        <v>1182</v>
      </c>
      <c r="D33" s="120"/>
      <c r="E33" s="113" t="s">
        <v>2</v>
      </c>
      <c r="F33" s="120" t="str">
        <f>"nomor "&amp;spk_no&amp;" tanggal "&amp;spk_tgl</f>
        <v>nomor 027.1/1/SPK/BPKAD/2025 tanggal 3 Agustus 2023</v>
      </c>
      <c r="G33" s="120"/>
      <c r="H33" s="120"/>
      <c r="I33" s="120"/>
      <c r="J33" s="120"/>
      <c r="K33" s="120"/>
      <c r="L33" s="120"/>
      <c r="M33" s="120"/>
      <c r="N33" s="127"/>
      <c r="O33" s="127"/>
      <c r="P33" s="127"/>
      <c r="Q33" s="128"/>
    </row>
    <row r="34" spans="1:17" s="119" customFormat="1" ht="15" customHeight="1">
      <c r="B34" s="123" t="s">
        <v>598</v>
      </c>
      <c r="C34" s="120" t="s">
        <v>1183</v>
      </c>
      <c r="D34" s="120"/>
      <c r="E34" s="113" t="s">
        <v>2</v>
      </c>
      <c r="F34" s="1284" t="str">
        <f>"Rp. "&amp;TEXT(spk_nilai,tiko1)&amp;" ("&amp;spk_ter&amp;")"</f>
        <v>Rp. 69,862,000 (Enam Puluh Sembilan Juta Delapan Ratus Enam Puluh Dua Ribu Rupiah)</v>
      </c>
      <c r="G34" s="1284"/>
      <c r="H34" s="1284"/>
      <c r="I34" s="1284"/>
      <c r="J34" s="1284"/>
      <c r="K34" s="1284"/>
      <c r="L34" s="1284"/>
      <c r="M34" s="120"/>
      <c r="N34" s="127"/>
      <c r="O34" s="127"/>
      <c r="P34" s="127"/>
      <c r="Q34" s="128"/>
    </row>
    <row r="35" spans="1:17" s="119" customFormat="1" ht="15" customHeight="1">
      <c r="B35" s="120"/>
      <c r="C35" s="120"/>
      <c r="D35" s="120" t="s">
        <v>1184</v>
      </c>
      <c r="E35" s="113"/>
      <c r="F35" s="120"/>
      <c r="G35" s="120"/>
      <c r="H35" s="120"/>
      <c r="I35" s="120"/>
      <c r="J35" s="120"/>
      <c r="K35" s="120"/>
      <c r="L35" s="120"/>
      <c r="M35" s="120"/>
      <c r="N35" s="127"/>
      <c r="O35" s="127"/>
      <c r="P35" s="127"/>
      <c r="Q35" s="128"/>
    </row>
    <row r="36" spans="1:17" s="119" customFormat="1" ht="15" customHeight="1">
      <c r="A36" s="821" t="s">
        <v>422</v>
      </c>
      <c r="B36" s="120" t="str">
        <f>"Penyerahan sebagaimana dimaksud dalam angka 1 berupa Pekerjaan antara lain :"</f>
        <v>Penyerahan sebagaimana dimaksud dalam angka 1 berupa Pekerjaan antara lain :</v>
      </c>
      <c r="C36" s="120"/>
      <c r="D36" s="120"/>
      <c r="E36" s="120"/>
      <c r="F36" s="120"/>
      <c r="G36" s="120"/>
      <c r="H36" s="120"/>
      <c r="I36" s="120"/>
      <c r="J36" s="120"/>
      <c r="K36" s="120"/>
      <c r="L36" s="120"/>
      <c r="M36" s="127"/>
      <c r="N36" s="127"/>
      <c r="O36" s="127"/>
      <c r="P36" s="128"/>
    </row>
    <row r="37" spans="1:17" s="119" customFormat="1" ht="15" customHeight="1">
      <c r="A37" s="120"/>
      <c r="B37" s="123">
        <v>1</v>
      </c>
      <c r="C37" s="126" t="str">
        <f>PPK.HPS!G16&amp;" "&amp;PPK.HPS!F16&amp;" "&amp;PPK.HPS!B16</f>
        <v xml:space="preserve">  PEKERJAAN PERSIAPAN</v>
      </c>
      <c r="D37" s="120"/>
      <c r="E37" s="120"/>
      <c r="F37" s="120"/>
      <c r="G37" s="120"/>
      <c r="H37" s="120"/>
      <c r="I37" s="120"/>
      <c r="J37" s="120"/>
      <c r="K37" s="120"/>
      <c r="L37" s="120"/>
      <c r="M37" s="127"/>
      <c r="N37" s="127"/>
      <c r="O37" s="127"/>
      <c r="P37" s="128"/>
    </row>
    <row r="38" spans="1:17" s="119" customFormat="1" ht="15" customHeight="1">
      <c r="A38" s="120"/>
      <c r="B38" s="123">
        <f t="shared" ref="B38:B62" si="0">IF(AND(B37&lt;&gt;0,C38&lt;&gt;0),B37+1,"")</f>
        <v>2</v>
      </c>
      <c r="C38" s="126" t="str">
        <f>PPK.HPS!G17&amp;" "&amp;PPK.HPS!F17&amp;" "&amp;PPK.HPS!B17</f>
        <v>1 keg Pengukuran</v>
      </c>
      <c r="D38" s="120"/>
      <c r="E38" s="120"/>
      <c r="F38" s="120"/>
      <c r="G38" s="120"/>
      <c r="H38" s="120"/>
      <c r="I38" s="120"/>
      <c r="J38" s="120"/>
      <c r="K38" s="120"/>
      <c r="L38" s="120"/>
      <c r="M38" s="127"/>
      <c r="N38" s="127"/>
      <c r="O38" s="127"/>
      <c r="P38" s="128"/>
    </row>
    <row r="39" spans="1:17" s="119" customFormat="1" ht="15" customHeight="1">
      <c r="A39" s="120"/>
      <c r="B39" s="123">
        <f t="shared" si="0"/>
        <v>3</v>
      </c>
      <c r="C39" s="126" t="str">
        <f>PPK.HPS!G18&amp;" "&amp;PPK.HPS!F18&amp;" "&amp;PPK.HPS!B18</f>
        <v>1 keg Pembersihan Lokasi</v>
      </c>
      <c r="D39" s="120"/>
      <c r="E39" s="120"/>
      <c r="F39" s="120"/>
      <c r="G39" s="120"/>
      <c r="H39" s="120"/>
      <c r="I39" s="120"/>
      <c r="J39" s="120"/>
      <c r="K39" s="120"/>
      <c r="L39" s="120"/>
      <c r="M39" s="127"/>
      <c r="N39" s="127"/>
      <c r="O39" s="127"/>
      <c r="P39" s="128"/>
    </row>
    <row r="40" spans="1:17" s="119" customFormat="1" ht="15" customHeight="1">
      <c r="A40" s="120"/>
      <c r="B40" s="123">
        <f t="shared" si="0"/>
        <v>4</v>
      </c>
      <c r="C40" s="126" t="str">
        <f>PPK.HPS!G19&amp;" "&amp;PPK.HPS!F19&amp;" "&amp;PPK.HPS!B19</f>
        <v xml:space="preserve">  </v>
      </c>
      <c r="D40" s="120"/>
      <c r="E40" s="120"/>
      <c r="F40" s="120"/>
      <c r="G40" s="120"/>
      <c r="H40" s="120"/>
      <c r="I40" s="120"/>
      <c r="J40" s="120"/>
      <c r="K40" s="120"/>
      <c r="L40" s="120"/>
      <c r="M40" s="127"/>
      <c r="N40" s="127"/>
      <c r="O40" s="127"/>
      <c r="P40" s="128"/>
    </row>
    <row r="41" spans="1:17" s="119" customFormat="1" ht="15" customHeight="1">
      <c r="A41" s="120"/>
      <c r="B41" s="123">
        <f t="shared" si="0"/>
        <v>5</v>
      </c>
      <c r="C41" s="126" t="str">
        <f>PPK.HPS!G20&amp;" "&amp;PPK.HPS!F20&amp;" "&amp;PPK.HPS!B20</f>
        <v xml:space="preserve">  SMK3 KONSTRUKSI</v>
      </c>
      <c r="D41" s="120"/>
      <c r="E41" s="120"/>
      <c r="F41" s="120"/>
      <c r="G41" s="120"/>
      <c r="H41" s="120"/>
      <c r="I41" s="120"/>
      <c r="J41" s="120"/>
      <c r="K41" s="120"/>
      <c r="L41" s="120"/>
      <c r="M41" s="127"/>
      <c r="N41" s="127"/>
      <c r="O41" s="127"/>
      <c r="P41" s="128"/>
    </row>
    <row r="42" spans="1:17" s="119" customFormat="1" ht="15" customHeight="1">
      <c r="A42" s="120"/>
      <c r="B42" s="123">
        <f t="shared" si="0"/>
        <v>6</v>
      </c>
      <c r="C42" s="126" t="str">
        <f>PPK.HPS!G21&amp;" "&amp;PPK.HPS!F21&amp;" "&amp;PPK.HPS!B21</f>
        <v>5 set Alat Pelindung Kerja dan Alat Pelindung Diri</v>
      </c>
      <c r="D42" s="120"/>
      <c r="E42" s="120"/>
      <c r="F42" s="120"/>
      <c r="G42" s="120"/>
      <c r="H42" s="120"/>
      <c r="I42" s="120"/>
      <c r="J42" s="120"/>
      <c r="K42" s="120"/>
      <c r="L42" s="120"/>
      <c r="M42" s="127"/>
      <c r="N42" s="127"/>
      <c r="O42" s="127"/>
      <c r="P42" s="128"/>
    </row>
    <row r="43" spans="1:17" s="119" customFormat="1" ht="15" customHeight="1">
      <c r="A43" s="120"/>
      <c r="B43" s="123">
        <f t="shared" si="0"/>
        <v>7</v>
      </c>
      <c r="C43" s="126" t="str">
        <f>PPK.HPS!G22&amp;" "&amp;PPK.HPS!F22&amp;" "&amp;PPK.HPS!B22</f>
        <v xml:space="preserve">  </v>
      </c>
      <c r="D43" s="120"/>
      <c r="E43" s="120"/>
      <c r="F43" s="120"/>
      <c r="G43" s="120"/>
      <c r="H43" s="120"/>
      <c r="I43" s="120"/>
      <c r="J43" s="120"/>
      <c r="K43" s="120"/>
      <c r="L43" s="120"/>
      <c r="M43" s="127"/>
      <c r="N43" s="127"/>
      <c r="O43" s="127"/>
      <c r="P43" s="128"/>
    </row>
    <row r="44" spans="1:17" s="119" customFormat="1" ht="15" customHeight="1">
      <c r="A44" s="120"/>
      <c r="B44" s="123">
        <f t="shared" si="0"/>
        <v>8</v>
      </c>
      <c r="C44" s="126" t="str">
        <f>PPK.HPS!G23&amp;" "&amp;PPK.HPS!F23&amp;" "&amp;PPK.HPS!B23</f>
        <v xml:space="preserve">  PEKERJAAN PENGECATAN</v>
      </c>
      <c r="D44" s="120"/>
      <c r="E44" s="120"/>
      <c r="F44" s="120"/>
      <c r="G44" s="120"/>
      <c r="H44" s="120"/>
      <c r="I44" s="120"/>
      <c r="J44" s="120"/>
      <c r="K44" s="120"/>
      <c r="L44" s="120"/>
      <c r="M44" s="127"/>
      <c r="N44" s="127"/>
      <c r="O44" s="127"/>
      <c r="P44" s="128"/>
    </row>
    <row r="45" spans="1:17" s="119" customFormat="1" ht="15" customHeight="1">
      <c r="A45" s="120"/>
      <c r="B45" s="123">
        <f t="shared" si="0"/>
        <v>9</v>
      </c>
      <c r="C45" s="126" t="str">
        <f>PPK.HPS!G24&amp;" "&amp;PPK.HPS!F24&amp;" "&amp;PPK.HPS!B24</f>
        <v>1 keg Sewa stager</v>
      </c>
      <c r="D45" s="120"/>
      <c r="E45" s="120"/>
      <c r="F45" s="120"/>
      <c r="G45" s="120"/>
      <c r="H45" s="120"/>
      <c r="I45" s="120"/>
      <c r="J45" s="120"/>
      <c r="K45" s="120"/>
      <c r="L45" s="120"/>
      <c r="M45" s="127"/>
      <c r="N45" s="127"/>
      <c r="O45" s="127"/>
      <c r="P45" s="128"/>
    </row>
    <row r="46" spans="1:17" s="119" customFormat="1" ht="15" customHeight="1">
      <c r="A46" s="120"/>
      <c r="B46" s="123">
        <f t="shared" si="0"/>
        <v>10</v>
      </c>
      <c r="C46" s="126" t="str">
        <f>PPK.HPS!G25&amp;" "&amp;PPK.HPS!F25&amp;" "&amp;PPK.HPS!B25</f>
        <v xml:space="preserve">168.58 m2 Pengerokan cat yang terkelupas </v>
      </c>
      <c r="D46" s="120"/>
      <c r="E46" s="120"/>
      <c r="F46" s="120"/>
      <c r="G46" s="120"/>
      <c r="H46" s="120"/>
      <c r="I46" s="120"/>
      <c r="J46" s="120"/>
      <c r="K46" s="120"/>
      <c r="L46" s="120"/>
      <c r="M46" s="127"/>
      <c r="N46" s="127"/>
      <c r="O46" s="127"/>
      <c r="P46" s="128"/>
    </row>
    <row r="47" spans="1:17" s="119" customFormat="1" ht="15" customHeight="1">
      <c r="A47" s="120"/>
      <c r="B47" s="123">
        <f t="shared" si="0"/>
        <v>11</v>
      </c>
      <c r="C47" s="126" t="str">
        <f>PPK.HPS!G26&amp;" "&amp;PPK.HPS!F26&amp;" "&amp;PPK.HPS!B26</f>
        <v>842.91 m2 Pengecatan ulang dinding luar</v>
      </c>
      <c r="D47" s="120"/>
      <c r="E47" s="120"/>
      <c r="F47" s="120"/>
      <c r="G47" s="120"/>
      <c r="H47" s="120"/>
      <c r="I47" s="120"/>
      <c r="J47" s="120"/>
      <c r="K47" s="120"/>
      <c r="L47" s="120"/>
      <c r="M47" s="127"/>
      <c r="N47" s="127"/>
      <c r="O47" s="127"/>
      <c r="P47" s="128"/>
    </row>
    <row r="48" spans="1:17" s="119" customFormat="1" ht="15" customHeight="1">
      <c r="A48" s="120"/>
      <c r="B48" s="123">
        <f t="shared" si="0"/>
        <v>12</v>
      </c>
      <c r="C48" s="126" t="str">
        <f>PPK.HPS!G27&amp;" "&amp;PPK.HPS!F27&amp;" "&amp;PPK.HPS!B27</f>
        <v>419 m2 Pengecatan ACP dengan cat besi</v>
      </c>
      <c r="D48" s="120"/>
      <c r="E48" s="120"/>
      <c r="F48" s="120"/>
      <c r="G48" s="120"/>
      <c r="H48" s="120"/>
      <c r="I48" s="120"/>
      <c r="J48" s="120"/>
      <c r="K48" s="120"/>
      <c r="L48" s="120"/>
      <c r="M48" s="127"/>
      <c r="N48" s="127"/>
      <c r="O48" s="127"/>
      <c r="P48" s="128"/>
    </row>
    <row r="49" spans="1:16" s="119" customFormat="1" ht="15" customHeight="1">
      <c r="A49" s="120"/>
      <c r="B49" s="123">
        <f t="shared" si="0"/>
        <v>13</v>
      </c>
      <c r="C49" s="126" t="str">
        <f>PPK.HPS!G28&amp;" "&amp;PPK.HPS!F28&amp;" "&amp;PPK.HPS!B28</f>
        <v xml:space="preserve">  </v>
      </c>
      <c r="D49" s="120"/>
      <c r="E49" s="120"/>
      <c r="F49" s="120"/>
      <c r="G49" s="120"/>
      <c r="H49" s="120"/>
      <c r="I49" s="120"/>
      <c r="J49" s="120"/>
      <c r="K49" s="120"/>
      <c r="L49" s="120"/>
      <c r="M49" s="127"/>
      <c r="N49" s="127"/>
      <c r="O49" s="127"/>
      <c r="P49" s="128"/>
    </row>
    <row r="50" spans="1:16" s="119" customFormat="1" ht="15" customHeight="1">
      <c r="A50" s="120"/>
      <c r="B50" s="123">
        <f t="shared" si="0"/>
        <v>14</v>
      </c>
      <c r="C50" s="126" t="str">
        <f>PPK.HPS!G29&amp;" "&amp;PPK.HPS!F29&amp;" "&amp;PPK.HPS!B29</f>
        <v xml:space="preserve">  </v>
      </c>
      <c r="D50" s="120"/>
      <c r="E50" s="120"/>
      <c r="F50" s="120"/>
      <c r="G50" s="120"/>
      <c r="H50" s="120"/>
      <c r="I50" s="120"/>
      <c r="J50" s="120"/>
      <c r="K50" s="120"/>
      <c r="L50" s="120"/>
      <c r="M50" s="127"/>
      <c r="N50" s="127"/>
      <c r="O50" s="127"/>
      <c r="P50" s="128"/>
    </row>
    <row r="51" spans="1:16" s="119" customFormat="1" ht="15" customHeight="1">
      <c r="A51" s="120"/>
      <c r="B51" s="123">
        <f t="shared" si="0"/>
        <v>15</v>
      </c>
      <c r="C51" s="126" t="str">
        <f>PPK.HPS!G30&amp;" "&amp;PPK.HPS!F30&amp;" "&amp;PPK.HPS!B30</f>
        <v xml:space="preserve">  </v>
      </c>
      <c r="D51" s="120"/>
      <c r="E51" s="120"/>
      <c r="F51" s="120"/>
      <c r="G51" s="120"/>
      <c r="H51" s="120"/>
      <c r="I51" s="120"/>
      <c r="J51" s="120"/>
      <c r="K51" s="120"/>
      <c r="L51" s="120"/>
      <c r="M51" s="127"/>
      <c r="N51" s="127"/>
      <c r="O51" s="127"/>
      <c r="P51" s="128"/>
    </row>
    <row r="52" spans="1:16" s="119" customFormat="1" ht="15" customHeight="1">
      <c r="A52" s="120"/>
      <c r="B52" s="123">
        <f t="shared" si="0"/>
        <v>16</v>
      </c>
      <c r="C52" s="126" t="str">
        <f>PPK.HPS!G31&amp;" "&amp;PPK.HPS!F31&amp;" "&amp;PPK.HPS!B31</f>
        <v xml:space="preserve">  </v>
      </c>
      <c r="D52" s="120"/>
      <c r="E52" s="120"/>
      <c r="F52" s="120"/>
      <c r="G52" s="120"/>
      <c r="H52" s="120"/>
      <c r="I52" s="120"/>
      <c r="J52" s="120"/>
      <c r="K52" s="120"/>
      <c r="L52" s="120"/>
      <c r="M52" s="127"/>
      <c r="N52" s="127"/>
      <c r="O52" s="127"/>
      <c r="P52" s="128"/>
    </row>
    <row r="53" spans="1:16" s="119" customFormat="1" ht="15" customHeight="1">
      <c r="A53" s="120"/>
      <c r="B53" s="123">
        <f t="shared" si="0"/>
        <v>17</v>
      </c>
      <c r="C53" s="126" t="str">
        <f>PPK.HPS!G32&amp;" "&amp;PPK.HPS!F32&amp;" "&amp;PPK.HPS!B32</f>
        <v xml:space="preserve">  </v>
      </c>
      <c r="D53" s="120"/>
      <c r="E53" s="120"/>
      <c r="F53" s="120"/>
      <c r="G53" s="120"/>
      <c r="H53" s="120"/>
      <c r="I53" s="120"/>
      <c r="J53" s="120"/>
      <c r="K53" s="120"/>
      <c r="L53" s="120"/>
      <c r="M53" s="127"/>
      <c r="N53" s="127"/>
      <c r="O53" s="127"/>
      <c r="P53" s="128"/>
    </row>
    <row r="54" spans="1:16" s="119" customFormat="1" ht="15" customHeight="1">
      <c r="A54" s="120"/>
      <c r="B54" s="123">
        <f t="shared" si="0"/>
        <v>18</v>
      </c>
      <c r="C54" s="126" t="str">
        <f>PPK.HPS!G33&amp;" "&amp;PPK.HPS!F33&amp;" "&amp;PPK.HPS!B33</f>
        <v xml:space="preserve">  </v>
      </c>
      <c r="D54" s="120"/>
      <c r="E54" s="120"/>
      <c r="F54" s="120"/>
      <c r="G54" s="120"/>
      <c r="H54" s="120"/>
      <c r="I54" s="120"/>
      <c r="J54" s="120"/>
      <c r="K54" s="120"/>
      <c r="L54" s="120"/>
      <c r="M54" s="127"/>
      <c r="N54" s="127"/>
      <c r="O54" s="127"/>
      <c r="P54" s="128"/>
    </row>
    <row r="55" spans="1:16" s="119" customFormat="1" ht="15" customHeight="1">
      <c r="A55" s="120"/>
      <c r="B55" s="123">
        <f t="shared" si="0"/>
        <v>19</v>
      </c>
      <c r="C55" s="126" t="str">
        <f>PPK.HPS!G34&amp;" "&amp;PPK.HPS!F34&amp;" "&amp;PPK.HPS!B34</f>
        <v xml:space="preserve">  </v>
      </c>
      <c r="D55" s="120"/>
      <c r="E55" s="120"/>
      <c r="F55" s="120"/>
      <c r="G55" s="120"/>
      <c r="H55" s="120"/>
      <c r="I55" s="120"/>
      <c r="J55" s="120"/>
      <c r="K55" s="120"/>
      <c r="L55" s="120"/>
      <c r="M55" s="127"/>
      <c r="N55" s="127"/>
      <c r="O55" s="127"/>
      <c r="P55" s="128"/>
    </row>
    <row r="56" spans="1:16" s="119" customFormat="1" ht="15" customHeight="1">
      <c r="A56" s="120"/>
      <c r="B56" s="123">
        <f t="shared" si="0"/>
        <v>20</v>
      </c>
      <c r="C56" s="126" t="str">
        <f>PPK.HPS!G35&amp;" "&amp;PPK.HPS!F35&amp;" "&amp;PPK.HPS!B35</f>
        <v xml:space="preserve">  </v>
      </c>
      <c r="D56" s="120"/>
      <c r="E56" s="120"/>
      <c r="F56" s="120"/>
      <c r="G56" s="120"/>
      <c r="H56" s="120"/>
      <c r="I56" s="120"/>
      <c r="J56" s="120"/>
      <c r="K56" s="120"/>
      <c r="L56" s="120"/>
      <c r="M56" s="127"/>
      <c r="N56" s="127"/>
      <c r="O56" s="127"/>
      <c r="P56" s="128"/>
    </row>
    <row r="57" spans="1:16" s="119" customFormat="1" ht="15" customHeight="1">
      <c r="A57" s="120"/>
      <c r="B57" s="123">
        <f t="shared" si="0"/>
        <v>21</v>
      </c>
      <c r="C57" s="126" t="str">
        <f>PPK.HPS!G36&amp;" "&amp;PPK.HPS!F36&amp;" "&amp;PPK.HPS!B36</f>
        <v xml:space="preserve">  </v>
      </c>
      <c r="D57" s="120"/>
      <c r="E57" s="120"/>
      <c r="F57" s="120"/>
      <c r="G57" s="120"/>
      <c r="H57" s="120"/>
      <c r="I57" s="120"/>
      <c r="J57" s="120"/>
      <c r="K57" s="120"/>
      <c r="L57" s="120"/>
      <c r="M57" s="127"/>
      <c r="N57" s="127"/>
      <c r="O57" s="127"/>
      <c r="P57" s="128"/>
    </row>
    <row r="58" spans="1:16" s="119" customFormat="1" ht="15" customHeight="1">
      <c r="A58" s="120"/>
      <c r="B58" s="123">
        <f t="shared" si="0"/>
        <v>22</v>
      </c>
      <c r="C58" s="126" t="str">
        <f>PPK.HPS!G37&amp;" "&amp;PPK.HPS!F37&amp;" "&amp;PPK.HPS!B37</f>
        <v xml:space="preserve">  </v>
      </c>
      <c r="D58" s="120"/>
      <c r="E58" s="120"/>
      <c r="F58" s="120"/>
      <c r="G58" s="120"/>
      <c r="H58" s="120"/>
      <c r="I58" s="120"/>
      <c r="J58" s="120"/>
      <c r="K58" s="120"/>
      <c r="L58" s="120"/>
      <c r="M58" s="127"/>
      <c r="N58" s="127"/>
      <c r="O58" s="127"/>
      <c r="P58" s="128"/>
    </row>
    <row r="59" spans="1:16" s="119" customFormat="1" ht="15" customHeight="1">
      <c r="A59" s="120"/>
      <c r="B59" s="123">
        <f t="shared" si="0"/>
        <v>23</v>
      </c>
      <c r="C59" s="126" t="str">
        <f>PPK.HPS!G38&amp;" "&amp;PPK.HPS!F38&amp;" "&amp;PPK.HPS!B38</f>
        <v xml:space="preserve">  </v>
      </c>
      <c r="D59" s="120"/>
      <c r="E59" s="120"/>
      <c r="F59" s="120"/>
      <c r="G59" s="120"/>
      <c r="H59" s="120"/>
      <c r="I59" s="120"/>
      <c r="J59" s="120"/>
      <c r="K59" s="120"/>
      <c r="L59" s="120"/>
      <c r="M59" s="127"/>
      <c r="N59" s="127"/>
      <c r="O59" s="127"/>
      <c r="P59" s="128"/>
    </row>
    <row r="60" spans="1:16" s="119" customFormat="1" ht="15" customHeight="1">
      <c r="A60" s="120"/>
      <c r="B60" s="123">
        <f t="shared" si="0"/>
        <v>24</v>
      </c>
      <c r="C60" s="126" t="str">
        <f>PPK.HPS!G39&amp;" "&amp;PPK.HPS!F39&amp;" "&amp;PPK.HPS!B39</f>
        <v xml:space="preserve">  </v>
      </c>
      <c r="D60" s="120"/>
      <c r="E60" s="120"/>
      <c r="F60" s="120"/>
      <c r="G60" s="120"/>
      <c r="H60" s="120"/>
      <c r="I60" s="120"/>
      <c r="J60" s="120"/>
      <c r="K60" s="120"/>
      <c r="L60" s="120"/>
      <c r="M60" s="127"/>
      <c r="N60" s="127"/>
      <c r="O60" s="127"/>
      <c r="P60" s="128"/>
    </row>
    <row r="61" spans="1:16" s="119" customFormat="1" ht="15" customHeight="1">
      <c r="A61" s="120"/>
      <c r="B61" s="123">
        <f t="shared" si="0"/>
        <v>25</v>
      </c>
      <c r="C61" s="126" t="str">
        <f>PPK.HPS!G40&amp;" "&amp;PPK.HPS!F40&amp;" "&amp;PPK.HPS!B40</f>
        <v xml:space="preserve">  </v>
      </c>
      <c r="D61" s="120"/>
      <c r="E61" s="120"/>
      <c r="F61" s="120"/>
      <c r="G61" s="120"/>
      <c r="H61" s="120"/>
      <c r="I61" s="120"/>
      <c r="J61" s="120"/>
      <c r="K61" s="120"/>
      <c r="L61" s="120"/>
      <c r="M61" s="127"/>
      <c r="N61" s="127"/>
      <c r="O61" s="127"/>
      <c r="P61" s="128"/>
    </row>
    <row r="62" spans="1:16" s="119" customFormat="1" ht="15" customHeight="1">
      <c r="A62" s="120"/>
      <c r="B62" s="123">
        <f t="shared" si="0"/>
        <v>26</v>
      </c>
      <c r="C62" s="126" t="str">
        <f>PPK.HPS!G41&amp;" "&amp;PPK.HPS!F41&amp;" "&amp;PPK.HPS!B41</f>
        <v xml:space="preserve">  </v>
      </c>
      <c r="D62" s="120"/>
      <c r="E62" s="120"/>
      <c r="F62" s="120"/>
      <c r="G62" s="120"/>
      <c r="H62" s="120"/>
      <c r="I62" s="120"/>
      <c r="J62" s="120"/>
      <c r="K62" s="120"/>
      <c r="L62" s="120"/>
      <c r="M62" s="127"/>
      <c r="N62" s="127"/>
      <c r="O62" s="127"/>
      <c r="P62" s="128"/>
    </row>
    <row r="63" spans="1:16" s="119" customFormat="1" ht="15" customHeight="1">
      <c r="A63" s="120"/>
      <c r="B63" s="120"/>
      <c r="C63" s="120"/>
      <c r="D63" s="120"/>
      <c r="E63" s="120"/>
      <c r="F63" s="120"/>
      <c r="G63" s="120"/>
      <c r="H63" s="120"/>
      <c r="I63" s="120"/>
      <c r="J63" s="120"/>
      <c r="K63" s="120"/>
      <c r="L63" s="120"/>
      <c r="M63" s="127"/>
      <c r="N63" s="127"/>
      <c r="O63" s="127"/>
      <c r="P63" s="128"/>
    </row>
    <row r="64" spans="1:16" s="119" customFormat="1" ht="15" customHeight="1">
      <c r="A64" s="1284" t="s">
        <v>1263</v>
      </c>
      <c r="B64" s="1284"/>
      <c r="C64" s="1284"/>
      <c r="D64" s="1284"/>
      <c r="E64" s="1284"/>
      <c r="F64" s="1284"/>
      <c r="G64" s="1284"/>
      <c r="H64" s="1284"/>
      <c r="I64" s="1284"/>
      <c r="J64" s="1284"/>
      <c r="K64" s="1284"/>
      <c r="L64" s="1284"/>
      <c r="M64" s="127"/>
      <c r="N64" s="127"/>
      <c r="O64" s="127"/>
      <c r="P64" s="128"/>
    </row>
    <row r="65" spans="1:16" s="119" customFormat="1" ht="15" customHeight="1">
      <c r="A65" s="1284"/>
      <c r="B65" s="1284"/>
      <c r="C65" s="1284"/>
      <c r="D65" s="1284"/>
      <c r="E65" s="1284"/>
      <c r="F65" s="1284"/>
      <c r="G65" s="1284"/>
      <c r="H65" s="1284"/>
      <c r="I65" s="1284"/>
      <c r="J65" s="1284"/>
      <c r="K65" s="1284"/>
      <c r="L65" s="1284"/>
      <c r="M65" s="127"/>
      <c r="N65" s="127"/>
      <c r="O65" s="127"/>
      <c r="P65" s="128"/>
    </row>
    <row r="66" spans="1:16" s="119" customFormat="1" ht="15" customHeight="1">
      <c r="A66" s="120"/>
      <c r="B66" s="120"/>
      <c r="C66" s="120"/>
      <c r="D66" s="120"/>
      <c r="E66" s="120"/>
      <c r="F66" s="120"/>
      <c r="G66" s="120"/>
      <c r="H66" s="120"/>
      <c r="I66" s="120"/>
      <c r="J66" s="120"/>
      <c r="K66" s="120"/>
      <c r="L66" s="120"/>
      <c r="M66" s="127"/>
      <c r="N66" s="127"/>
      <c r="O66" s="127"/>
      <c r="P66" s="128"/>
    </row>
    <row r="67" spans="1:16" ht="15" customHeight="1">
      <c r="A67" s="1138" t="str">
        <f>pa_jab</f>
        <v>Kepala Badan Pengelolaan Keuangan dan Aset Daerah</v>
      </c>
      <c r="B67" s="1138"/>
      <c r="C67" s="1138"/>
      <c r="D67" s="1138"/>
      <c r="E67" s="1138"/>
      <c r="F67" s="1138"/>
      <c r="G67" s="1138"/>
      <c r="H67" s="54"/>
      <c r="I67" s="1135"/>
      <c r="J67" s="1135"/>
      <c r="K67" s="1135"/>
      <c r="L67" s="1135"/>
    </row>
    <row r="68" spans="1:16" ht="15" customHeight="1">
      <c r="A68" s="1138" t="str">
        <f>opd_lok</f>
        <v>Provinsi Nusa Tenggara Barat</v>
      </c>
      <c r="B68" s="1138"/>
      <c r="C68" s="1138"/>
      <c r="D68" s="1138"/>
      <c r="E68" s="1138"/>
      <c r="F68" s="1138"/>
      <c r="G68" s="1138"/>
      <c r="H68" s="54"/>
      <c r="I68" s="1135"/>
      <c r="J68" s="1135"/>
      <c r="K68" s="1135"/>
      <c r="L68" s="1135"/>
    </row>
    <row r="69" spans="1:16" ht="15" customHeight="1">
      <c r="A69" s="1135" t="str">
        <f>"selaku "&amp;pa_sku</f>
        <v>selaku Pengguna Anggaran</v>
      </c>
      <c r="B69" s="1135"/>
      <c r="C69" s="1135"/>
      <c r="D69" s="1135"/>
      <c r="E69" s="1135"/>
      <c r="F69" s="1135"/>
      <c r="G69" s="1135"/>
      <c r="I69" s="1135" t="str">
        <f>ppk_jab</f>
        <v>Pejabat Pembuat Komitmen</v>
      </c>
      <c r="J69" s="1135"/>
      <c r="K69" s="1135"/>
      <c r="L69" s="1135"/>
    </row>
    <row r="70" spans="1:16" ht="15" customHeight="1">
      <c r="A70" s="1138"/>
      <c r="B70" s="1138"/>
      <c r="C70" s="1138"/>
      <c r="D70" s="1138"/>
      <c r="E70" s="1138"/>
      <c r="F70" s="1138"/>
      <c r="G70" s="1138"/>
      <c r="I70" s="1135"/>
      <c r="J70" s="1135"/>
      <c r="K70" s="1135"/>
      <c r="L70" s="1135"/>
    </row>
    <row r="71" spans="1:16" ht="15" customHeight="1">
      <c r="A71" s="1138"/>
      <c r="B71" s="1138"/>
      <c r="C71" s="1138"/>
      <c r="D71" s="1138"/>
      <c r="E71" s="1138"/>
      <c r="F71" s="1138"/>
      <c r="G71" s="1138"/>
      <c r="I71" s="1138"/>
      <c r="J71" s="1138"/>
      <c r="K71" s="1138"/>
      <c r="L71" s="1138"/>
    </row>
    <row r="72" spans="1:16" ht="15" customHeight="1">
      <c r="A72" s="1138"/>
      <c r="B72" s="1138"/>
      <c r="C72" s="1138"/>
      <c r="D72" s="1138"/>
      <c r="E72" s="1138"/>
      <c r="F72" s="1138"/>
      <c r="G72" s="1138"/>
      <c r="I72" s="1138"/>
      <c r="J72" s="1138"/>
      <c r="K72" s="1138"/>
      <c r="L72" s="1138"/>
    </row>
    <row r="73" spans="1:16" ht="15" customHeight="1">
      <c r="A73" s="1137" t="str">
        <f>pa_nam</f>
        <v>Dr. H. Nursalim., S.Sos., M.M</v>
      </c>
      <c r="B73" s="1137"/>
      <c r="C73" s="1137"/>
      <c r="D73" s="1137"/>
      <c r="E73" s="1137"/>
      <c r="F73" s="1137"/>
      <c r="G73" s="1137"/>
      <c r="I73" s="1137" t="str">
        <f>ppk_nama</f>
        <v>Ika Kurnia Mustika, ST, MT</v>
      </c>
      <c r="J73" s="1137"/>
      <c r="K73" s="1137"/>
      <c r="L73" s="1137"/>
    </row>
    <row r="74" spans="1:16" ht="15" customHeight="1">
      <c r="A74" s="1138" t="str">
        <f>"NIP. "&amp;pa_nip</f>
        <v>NIP. 19721231 199402 1 009</v>
      </c>
      <c r="B74" s="1138"/>
      <c r="C74" s="1138"/>
      <c r="D74" s="1138"/>
      <c r="E74" s="1138"/>
      <c r="F74" s="1138"/>
      <c r="G74" s="1138"/>
      <c r="I74" s="1138" t="str">
        <f>"NIP. "&amp;ppk_nip</f>
        <v>NIP. 19791117 200901 1 006</v>
      </c>
      <c r="J74" s="1138"/>
      <c r="K74" s="1138"/>
      <c r="L74" s="1138"/>
    </row>
    <row r="75" spans="1:16" ht="15" customHeight="1">
      <c r="C75" s="43"/>
      <c r="D75" s="43"/>
      <c r="I75" s="44"/>
      <c r="J75" s="44"/>
      <c r="K75" s="53"/>
      <c r="L75" s="53"/>
    </row>
  </sheetData>
  <mergeCells count="36">
    <mergeCell ref="B26:L27"/>
    <mergeCell ref="A64:L65"/>
    <mergeCell ref="A24:L25"/>
    <mergeCell ref="F29:L29"/>
    <mergeCell ref="A72:G72"/>
    <mergeCell ref="I72:L72"/>
    <mergeCell ref="F34:L34"/>
    <mergeCell ref="A67:G67"/>
    <mergeCell ref="I67:L67"/>
    <mergeCell ref="A68:G68"/>
    <mergeCell ref="I68:L68"/>
    <mergeCell ref="A73:G73"/>
    <mergeCell ref="I73:L73"/>
    <mergeCell ref="A74:G74"/>
    <mergeCell ref="I74:L74"/>
    <mergeCell ref="A69:G69"/>
    <mergeCell ref="I69:L69"/>
    <mergeCell ref="A70:G70"/>
    <mergeCell ref="I70:L70"/>
    <mergeCell ref="A71:G71"/>
    <mergeCell ref="I71:L71"/>
    <mergeCell ref="F15:L15"/>
    <mergeCell ref="F16:L16"/>
    <mergeCell ref="F17:L17"/>
    <mergeCell ref="B21:L21"/>
    <mergeCell ref="B22:L22"/>
    <mergeCell ref="A8:L8"/>
    <mergeCell ref="F10:L10"/>
    <mergeCell ref="F11:L11"/>
    <mergeCell ref="F12:L12"/>
    <mergeCell ref="F13:L13"/>
    <mergeCell ref="D1:L1"/>
    <mergeCell ref="D2:L2"/>
    <mergeCell ref="D3:L3"/>
    <mergeCell ref="A5:L5"/>
    <mergeCell ref="A6:L6"/>
  </mergeCells>
  <hyperlinks>
    <hyperlink ref="N6" location="Input!A107" display="balik ke input" xr:uid="{00000000-0004-0000-1400-000000000000}"/>
  </hyperlinks>
  <printOptions horizontalCentered="1"/>
  <pageMargins left="0.78740157480314998" right="0.55118110236220497" top="0.59055118110236204" bottom="0.78740157480314998" header="0" footer="0"/>
  <pageSetup paperSize="9" orientation="portrait" horizontalDpi="200" verticalDpi="300" r:id="rId1"/>
  <colBreaks count="1" manualBreakCount="1">
    <brk id="12" max="71" man="1"/>
  </colBreaks>
  <ignoredErrors>
    <ignoredError sqref="A36 A26"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L157"/>
  <sheetViews>
    <sheetView tabSelected="1" view="pageBreakPreview" topLeftCell="A67" zoomScaleNormal="100" zoomScaleSheetLayoutView="100" workbookViewId="0">
      <selection activeCell="G86" sqref="G86:J87"/>
    </sheetView>
  </sheetViews>
  <sheetFormatPr defaultColWidth="9" defaultRowHeight="14.25"/>
  <cols>
    <col min="1" max="1" width="3.6640625" style="18" customWidth="1"/>
    <col min="2" max="2" width="3.53125" style="18" customWidth="1"/>
    <col min="3" max="3" width="8.53125" style="18" customWidth="1"/>
    <col min="4" max="4" width="2" style="18" customWidth="1"/>
    <col min="5" max="5" width="26.6640625" style="18" customWidth="1"/>
    <col min="6" max="6" width="1.33203125" style="18" customWidth="1"/>
    <col min="7" max="7" width="5.86328125" style="18" customWidth="1"/>
    <col min="8" max="8" width="6.46484375" style="18" bestFit="1" customWidth="1"/>
    <col min="9" max="9" width="16.46484375" style="18" customWidth="1"/>
    <col min="10" max="10" width="18.9296875" style="18" customWidth="1"/>
    <col min="11" max="11" width="4.1328125" style="18" hidden="1" customWidth="1"/>
    <col min="12" max="257" width="9" style="18"/>
    <col min="258" max="258" width="9.86328125" style="18" customWidth="1"/>
    <col min="259" max="259" width="2" style="18" customWidth="1"/>
    <col min="260" max="260" width="12.53125" style="18" customWidth="1"/>
    <col min="261" max="261" width="1.86328125" style="18" customWidth="1"/>
    <col min="262" max="262" width="2" style="18" customWidth="1"/>
    <col min="263" max="263" width="16" style="18" customWidth="1"/>
    <col min="264" max="264" width="26" style="18" customWidth="1"/>
    <col min="265" max="265" width="9" style="18"/>
    <col min="266" max="266" width="9" style="18" customWidth="1"/>
    <col min="267" max="513" width="9" style="18"/>
    <col min="514" max="514" width="9.86328125" style="18" customWidth="1"/>
    <col min="515" max="515" width="2" style="18" customWidth="1"/>
    <col min="516" max="516" width="12.53125" style="18" customWidth="1"/>
    <col min="517" max="517" width="1.86328125" style="18" customWidth="1"/>
    <col min="518" max="518" width="2" style="18" customWidth="1"/>
    <col min="519" max="519" width="16" style="18" customWidth="1"/>
    <col min="520" max="520" width="26" style="18" customWidth="1"/>
    <col min="521" max="521" width="9" style="18"/>
    <col min="522" max="522" width="9" style="18" customWidth="1"/>
    <col min="523" max="769" width="9" style="18"/>
    <col min="770" max="770" width="9.86328125" style="18" customWidth="1"/>
    <col min="771" max="771" width="2" style="18" customWidth="1"/>
    <col min="772" max="772" width="12.53125" style="18" customWidth="1"/>
    <col min="773" max="773" width="1.86328125" style="18" customWidth="1"/>
    <col min="774" max="774" width="2" style="18" customWidth="1"/>
    <col min="775" max="775" width="16" style="18" customWidth="1"/>
    <col min="776" max="776" width="26" style="18" customWidth="1"/>
    <col min="777" max="777" width="9" style="18"/>
    <col min="778" max="778" width="9" style="18" customWidth="1"/>
    <col min="779" max="1025" width="9" style="18"/>
    <col min="1026" max="1026" width="9.86328125" style="18" customWidth="1"/>
    <col min="1027" max="1027" width="2" style="18" customWidth="1"/>
    <col min="1028" max="1028" width="12.53125" style="18" customWidth="1"/>
    <col min="1029" max="1029" width="1.86328125" style="18" customWidth="1"/>
    <col min="1030" max="1030" width="2" style="18" customWidth="1"/>
    <col min="1031" max="1031" width="16" style="18" customWidth="1"/>
    <col min="1032" max="1032" width="26" style="18" customWidth="1"/>
    <col min="1033" max="1033" width="9" style="18"/>
    <col min="1034" max="1034" width="9" style="18" customWidth="1"/>
    <col min="1035" max="1281" width="9" style="18"/>
    <col min="1282" max="1282" width="9.86328125" style="18" customWidth="1"/>
    <col min="1283" max="1283" width="2" style="18" customWidth="1"/>
    <col min="1284" max="1284" width="12.53125" style="18" customWidth="1"/>
    <col min="1285" max="1285" width="1.86328125" style="18" customWidth="1"/>
    <col min="1286" max="1286" width="2" style="18" customWidth="1"/>
    <col min="1287" max="1287" width="16" style="18" customWidth="1"/>
    <col min="1288" max="1288" width="26" style="18" customWidth="1"/>
    <col min="1289" max="1289" width="9" style="18"/>
    <col min="1290" max="1290" width="9" style="18" customWidth="1"/>
    <col min="1291" max="1537" width="9" style="18"/>
    <col min="1538" max="1538" width="9.86328125" style="18" customWidth="1"/>
    <col min="1539" max="1539" width="2" style="18" customWidth="1"/>
    <col min="1540" max="1540" width="12.53125" style="18" customWidth="1"/>
    <col min="1541" max="1541" width="1.86328125" style="18" customWidth="1"/>
    <col min="1542" max="1542" width="2" style="18" customWidth="1"/>
    <col min="1543" max="1543" width="16" style="18" customWidth="1"/>
    <col min="1544" max="1544" width="26" style="18" customWidth="1"/>
    <col min="1545" max="1545" width="9" style="18"/>
    <col min="1546" max="1546" width="9" style="18" customWidth="1"/>
    <col min="1547" max="1793" width="9" style="18"/>
    <col min="1794" max="1794" width="9.86328125" style="18" customWidth="1"/>
    <col min="1795" max="1795" width="2" style="18" customWidth="1"/>
    <col min="1796" max="1796" width="12.53125" style="18" customWidth="1"/>
    <col min="1797" max="1797" width="1.86328125" style="18" customWidth="1"/>
    <col min="1798" max="1798" width="2" style="18" customWidth="1"/>
    <col min="1799" max="1799" width="16" style="18" customWidth="1"/>
    <col min="1800" max="1800" width="26" style="18" customWidth="1"/>
    <col min="1801" max="1801" width="9" style="18"/>
    <col min="1802" max="1802" width="9" style="18" customWidth="1"/>
    <col min="1803" max="2049" width="9" style="18"/>
    <col min="2050" max="2050" width="9.86328125" style="18" customWidth="1"/>
    <col min="2051" max="2051" width="2" style="18" customWidth="1"/>
    <col min="2052" max="2052" width="12.53125" style="18" customWidth="1"/>
    <col min="2053" max="2053" width="1.86328125" style="18" customWidth="1"/>
    <col min="2054" max="2054" width="2" style="18" customWidth="1"/>
    <col min="2055" max="2055" width="16" style="18" customWidth="1"/>
    <col min="2056" max="2056" width="26" style="18" customWidth="1"/>
    <col min="2057" max="2057" width="9" style="18"/>
    <col min="2058" max="2058" width="9" style="18" customWidth="1"/>
    <col min="2059" max="2305" width="9" style="18"/>
    <col min="2306" max="2306" width="9.86328125" style="18" customWidth="1"/>
    <col min="2307" max="2307" width="2" style="18" customWidth="1"/>
    <col min="2308" max="2308" width="12.53125" style="18" customWidth="1"/>
    <col min="2309" max="2309" width="1.86328125" style="18" customWidth="1"/>
    <col min="2310" max="2310" width="2" style="18" customWidth="1"/>
    <col min="2311" max="2311" width="16" style="18" customWidth="1"/>
    <col min="2312" max="2312" width="26" style="18" customWidth="1"/>
    <col min="2313" max="2313" width="9" style="18"/>
    <col min="2314" max="2314" width="9" style="18" customWidth="1"/>
    <col min="2315" max="2561" width="9" style="18"/>
    <col min="2562" max="2562" width="9.86328125" style="18" customWidth="1"/>
    <col min="2563" max="2563" width="2" style="18" customWidth="1"/>
    <col min="2564" max="2564" width="12.53125" style="18" customWidth="1"/>
    <col min="2565" max="2565" width="1.86328125" style="18" customWidth="1"/>
    <col min="2566" max="2566" width="2" style="18" customWidth="1"/>
    <col min="2567" max="2567" width="16" style="18" customWidth="1"/>
    <col min="2568" max="2568" width="26" style="18" customWidth="1"/>
    <col min="2569" max="2569" width="9" style="18"/>
    <col min="2570" max="2570" width="9" style="18" customWidth="1"/>
    <col min="2571" max="2817" width="9" style="18"/>
    <col min="2818" max="2818" width="9.86328125" style="18" customWidth="1"/>
    <col min="2819" max="2819" width="2" style="18" customWidth="1"/>
    <col min="2820" max="2820" width="12.53125" style="18" customWidth="1"/>
    <col min="2821" max="2821" width="1.86328125" style="18" customWidth="1"/>
    <col min="2822" max="2822" width="2" style="18" customWidth="1"/>
    <col min="2823" max="2823" width="16" style="18" customWidth="1"/>
    <col min="2824" max="2824" width="26" style="18" customWidth="1"/>
    <col min="2825" max="2825" width="9" style="18"/>
    <col min="2826" max="2826" width="9" style="18" customWidth="1"/>
    <col min="2827" max="3073" width="9" style="18"/>
    <col min="3074" max="3074" width="9.86328125" style="18" customWidth="1"/>
    <col min="3075" max="3075" width="2" style="18" customWidth="1"/>
    <col min="3076" max="3076" width="12.53125" style="18" customWidth="1"/>
    <col min="3077" max="3077" width="1.86328125" style="18" customWidth="1"/>
    <col min="3078" max="3078" width="2" style="18" customWidth="1"/>
    <col min="3079" max="3079" width="16" style="18" customWidth="1"/>
    <col min="3080" max="3080" width="26" style="18" customWidth="1"/>
    <col min="3081" max="3081" width="9" style="18"/>
    <col min="3082" max="3082" width="9" style="18" customWidth="1"/>
    <col min="3083" max="3329" width="9" style="18"/>
    <col min="3330" max="3330" width="9.86328125" style="18" customWidth="1"/>
    <col min="3331" max="3331" width="2" style="18" customWidth="1"/>
    <col min="3332" max="3332" width="12.53125" style="18" customWidth="1"/>
    <col min="3333" max="3333" width="1.86328125" style="18" customWidth="1"/>
    <col min="3334" max="3334" width="2" style="18" customWidth="1"/>
    <col min="3335" max="3335" width="16" style="18" customWidth="1"/>
    <col min="3336" max="3336" width="26" style="18" customWidth="1"/>
    <col min="3337" max="3337" width="9" style="18"/>
    <col min="3338" max="3338" width="9" style="18" customWidth="1"/>
    <col min="3339" max="3585" width="9" style="18"/>
    <col min="3586" max="3586" width="9.86328125" style="18" customWidth="1"/>
    <col min="3587" max="3587" width="2" style="18" customWidth="1"/>
    <col min="3588" max="3588" width="12.53125" style="18" customWidth="1"/>
    <col min="3589" max="3589" width="1.86328125" style="18" customWidth="1"/>
    <col min="3590" max="3590" width="2" style="18" customWidth="1"/>
    <col min="3591" max="3591" width="16" style="18" customWidth="1"/>
    <col min="3592" max="3592" width="26" style="18" customWidth="1"/>
    <col min="3593" max="3593" width="9" style="18"/>
    <col min="3594" max="3594" width="9" style="18" customWidth="1"/>
    <col min="3595" max="3841" width="9" style="18"/>
    <col min="3842" max="3842" width="9.86328125" style="18" customWidth="1"/>
    <col min="3843" max="3843" width="2" style="18" customWidth="1"/>
    <col min="3844" max="3844" width="12.53125" style="18" customWidth="1"/>
    <col min="3845" max="3845" width="1.86328125" style="18" customWidth="1"/>
    <col min="3846" max="3846" width="2" style="18" customWidth="1"/>
    <col min="3847" max="3847" width="16" style="18" customWidth="1"/>
    <col min="3848" max="3848" width="26" style="18" customWidth="1"/>
    <col min="3849" max="3849" width="9" style="18"/>
    <col min="3850" max="3850" width="9" style="18" customWidth="1"/>
    <col min="3851" max="4097" width="9" style="18"/>
    <col min="4098" max="4098" width="9.86328125" style="18" customWidth="1"/>
    <col min="4099" max="4099" width="2" style="18" customWidth="1"/>
    <col min="4100" max="4100" width="12.53125" style="18" customWidth="1"/>
    <col min="4101" max="4101" width="1.86328125" style="18" customWidth="1"/>
    <col min="4102" max="4102" width="2" style="18" customWidth="1"/>
    <col min="4103" max="4103" width="16" style="18" customWidth="1"/>
    <col min="4104" max="4104" width="26" style="18" customWidth="1"/>
    <col min="4105" max="4105" width="9" style="18"/>
    <col min="4106" max="4106" width="9" style="18" customWidth="1"/>
    <col min="4107" max="4353" width="9" style="18"/>
    <col min="4354" max="4354" width="9.86328125" style="18" customWidth="1"/>
    <col min="4355" max="4355" width="2" style="18" customWidth="1"/>
    <col min="4356" max="4356" width="12.53125" style="18" customWidth="1"/>
    <col min="4357" max="4357" width="1.86328125" style="18" customWidth="1"/>
    <col min="4358" max="4358" width="2" style="18" customWidth="1"/>
    <col min="4359" max="4359" width="16" style="18" customWidth="1"/>
    <col min="4360" max="4360" width="26" style="18" customWidth="1"/>
    <col min="4361" max="4361" width="9" style="18"/>
    <col min="4362" max="4362" width="9" style="18" customWidth="1"/>
    <col min="4363" max="4609" width="9" style="18"/>
    <col min="4610" max="4610" width="9.86328125" style="18" customWidth="1"/>
    <col min="4611" max="4611" width="2" style="18" customWidth="1"/>
    <col min="4612" max="4612" width="12.53125" style="18" customWidth="1"/>
    <col min="4613" max="4613" width="1.86328125" style="18" customWidth="1"/>
    <col min="4614" max="4614" width="2" style="18" customWidth="1"/>
    <col min="4615" max="4615" width="16" style="18" customWidth="1"/>
    <col min="4616" max="4616" width="26" style="18" customWidth="1"/>
    <col min="4617" max="4617" width="9" style="18"/>
    <col min="4618" max="4618" width="9" style="18" customWidth="1"/>
    <col min="4619" max="4865" width="9" style="18"/>
    <col min="4866" max="4866" width="9.86328125" style="18" customWidth="1"/>
    <col min="4867" max="4867" width="2" style="18" customWidth="1"/>
    <col min="4868" max="4868" width="12.53125" style="18" customWidth="1"/>
    <col min="4869" max="4869" width="1.86328125" style="18" customWidth="1"/>
    <col min="4870" max="4870" width="2" style="18" customWidth="1"/>
    <col min="4871" max="4871" width="16" style="18" customWidth="1"/>
    <col min="4872" max="4872" width="26" style="18" customWidth="1"/>
    <col min="4873" max="4873" width="9" style="18"/>
    <col min="4874" max="4874" width="9" style="18" customWidth="1"/>
    <col min="4875" max="5121" width="9" style="18"/>
    <col min="5122" max="5122" width="9.86328125" style="18" customWidth="1"/>
    <col min="5123" max="5123" width="2" style="18" customWidth="1"/>
    <col min="5124" max="5124" width="12.53125" style="18" customWidth="1"/>
    <col min="5125" max="5125" width="1.86328125" style="18" customWidth="1"/>
    <col min="5126" max="5126" width="2" style="18" customWidth="1"/>
    <col min="5127" max="5127" width="16" style="18" customWidth="1"/>
    <col min="5128" max="5128" width="26" style="18" customWidth="1"/>
    <col min="5129" max="5129" width="9" style="18"/>
    <col min="5130" max="5130" width="9" style="18" customWidth="1"/>
    <col min="5131" max="5377" width="9" style="18"/>
    <col min="5378" max="5378" width="9.86328125" style="18" customWidth="1"/>
    <col min="5379" max="5379" width="2" style="18" customWidth="1"/>
    <col min="5380" max="5380" width="12.53125" style="18" customWidth="1"/>
    <col min="5381" max="5381" width="1.86328125" style="18" customWidth="1"/>
    <col min="5382" max="5382" width="2" style="18" customWidth="1"/>
    <col min="5383" max="5383" width="16" style="18" customWidth="1"/>
    <col min="5384" max="5384" width="26" style="18" customWidth="1"/>
    <col min="5385" max="5385" width="9" style="18"/>
    <col min="5386" max="5386" width="9" style="18" customWidth="1"/>
    <col min="5387" max="5633" width="9" style="18"/>
    <col min="5634" max="5634" width="9.86328125" style="18" customWidth="1"/>
    <col min="5635" max="5635" width="2" style="18" customWidth="1"/>
    <col min="5636" max="5636" width="12.53125" style="18" customWidth="1"/>
    <col min="5637" max="5637" width="1.86328125" style="18" customWidth="1"/>
    <col min="5638" max="5638" width="2" style="18" customWidth="1"/>
    <col min="5639" max="5639" width="16" style="18" customWidth="1"/>
    <col min="5640" max="5640" width="26" style="18" customWidth="1"/>
    <col min="5641" max="5641" width="9" style="18"/>
    <col min="5642" max="5642" width="9" style="18" customWidth="1"/>
    <col min="5643" max="5889" width="9" style="18"/>
    <col min="5890" max="5890" width="9.86328125" style="18" customWidth="1"/>
    <col min="5891" max="5891" width="2" style="18" customWidth="1"/>
    <col min="5892" max="5892" width="12.53125" style="18" customWidth="1"/>
    <col min="5893" max="5893" width="1.86328125" style="18" customWidth="1"/>
    <col min="5894" max="5894" width="2" style="18" customWidth="1"/>
    <col min="5895" max="5895" width="16" style="18" customWidth="1"/>
    <col min="5896" max="5896" width="26" style="18" customWidth="1"/>
    <col min="5897" max="5897" width="9" style="18"/>
    <col min="5898" max="5898" width="9" style="18" customWidth="1"/>
    <col min="5899" max="6145" width="9" style="18"/>
    <col min="6146" max="6146" width="9.86328125" style="18" customWidth="1"/>
    <col min="6147" max="6147" width="2" style="18" customWidth="1"/>
    <col min="6148" max="6148" width="12.53125" style="18" customWidth="1"/>
    <col min="6149" max="6149" width="1.86328125" style="18" customWidth="1"/>
    <col min="6150" max="6150" width="2" style="18" customWidth="1"/>
    <col min="6151" max="6151" width="16" style="18" customWidth="1"/>
    <col min="6152" max="6152" width="26" style="18" customWidth="1"/>
    <col min="6153" max="6153" width="9" style="18"/>
    <col min="6154" max="6154" width="9" style="18" customWidth="1"/>
    <col min="6155" max="6401" width="9" style="18"/>
    <col min="6402" max="6402" width="9.86328125" style="18" customWidth="1"/>
    <col min="6403" max="6403" width="2" style="18" customWidth="1"/>
    <col min="6404" max="6404" width="12.53125" style="18" customWidth="1"/>
    <col min="6405" max="6405" width="1.86328125" style="18" customWidth="1"/>
    <col min="6406" max="6406" width="2" style="18" customWidth="1"/>
    <col min="6407" max="6407" width="16" style="18" customWidth="1"/>
    <col min="6408" max="6408" width="26" style="18" customWidth="1"/>
    <col min="6409" max="6409" width="9" style="18"/>
    <col min="6410" max="6410" width="9" style="18" customWidth="1"/>
    <col min="6411" max="6657" width="9" style="18"/>
    <col min="6658" max="6658" width="9.86328125" style="18" customWidth="1"/>
    <col min="6659" max="6659" width="2" style="18" customWidth="1"/>
    <col min="6660" max="6660" width="12.53125" style="18" customWidth="1"/>
    <col min="6661" max="6661" width="1.86328125" style="18" customWidth="1"/>
    <col min="6662" max="6662" width="2" style="18" customWidth="1"/>
    <col min="6663" max="6663" width="16" style="18" customWidth="1"/>
    <col min="6664" max="6664" width="26" style="18" customWidth="1"/>
    <col min="6665" max="6665" width="9" style="18"/>
    <col min="6666" max="6666" width="9" style="18" customWidth="1"/>
    <col min="6667" max="6913" width="9" style="18"/>
    <col min="6914" max="6914" width="9.86328125" style="18" customWidth="1"/>
    <col min="6915" max="6915" width="2" style="18" customWidth="1"/>
    <col min="6916" max="6916" width="12.53125" style="18" customWidth="1"/>
    <col min="6917" max="6917" width="1.86328125" style="18" customWidth="1"/>
    <col min="6918" max="6918" width="2" style="18" customWidth="1"/>
    <col min="6919" max="6919" width="16" style="18" customWidth="1"/>
    <col min="6920" max="6920" width="26" style="18" customWidth="1"/>
    <col min="6921" max="6921" width="9" style="18"/>
    <col min="6922" max="6922" width="9" style="18" customWidth="1"/>
    <col min="6923" max="7169" width="9" style="18"/>
    <col min="7170" max="7170" width="9.86328125" style="18" customWidth="1"/>
    <col min="7171" max="7171" width="2" style="18" customWidth="1"/>
    <col min="7172" max="7172" width="12.53125" style="18" customWidth="1"/>
    <col min="7173" max="7173" width="1.86328125" style="18" customWidth="1"/>
    <col min="7174" max="7174" width="2" style="18" customWidth="1"/>
    <col min="7175" max="7175" width="16" style="18" customWidth="1"/>
    <col min="7176" max="7176" width="26" style="18" customWidth="1"/>
    <col min="7177" max="7177" width="9" style="18"/>
    <col min="7178" max="7178" width="9" style="18" customWidth="1"/>
    <col min="7179" max="7425" width="9" style="18"/>
    <col min="7426" max="7426" width="9.86328125" style="18" customWidth="1"/>
    <col min="7427" max="7427" width="2" style="18" customWidth="1"/>
    <col min="7428" max="7428" width="12.53125" style="18" customWidth="1"/>
    <col min="7429" max="7429" width="1.86328125" style="18" customWidth="1"/>
    <col min="7430" max="7430" width="2" style="18" customWidth="1"/>
    <col min="7431" max="7431" width="16" style="18" customWidth="1"/>
    <col min="7432" max="7432" width="26" style="18" customWidth="1"/>
    <col min="7433" max="7433" width="9" style="18"/>
    <col min="7434" max="7434" width="9" style="18" customWidth="1"/>
    <col min="7435" max="7681" width="9" style="18"/>
    <col min="7682" max="7682" width="9.86328125" style="18" customWidth="1"/>
    <col min="7683" max="7683" width="2" style="18" customWidth="1"/>
    <col min="7684" max="7684" width="12.53125" style="18" customWidth="1"/>
    <col min="7685" max="7685" width="1.86328125" style="18" customWidth="1"/>
    <col min="7686" max="7686" width="2" style="18" customWidth="1"/>
    <col min="7687" max="7687" width="16" style="18" customWidth="1"/>
    <col min="7688" max="7688" width="26" style="18" customWidth="1"/>
    <col min="7689" max="7689" width="9" style="18"/>
    <col min="7690" max="7690" width="9" style="18" customWidth="1"/>
    <col min="7691" max="7937" width="9" style="18"/>
    <col min="7938" max="7938" width="9.86328125" style="18" customWidth="1"/>
    <col min="7939" max="7939" width="2" style="18" customWidth="1"/>
    <col min="7940" max="7940" width="12.53125" style="18" customWidth="1"/>
    <col min="7941" max="7941" width="1.86328125" style="18" customWidth="1"/>
    <col min="7942" max="7942" width="2" style="18" customWidth="1"/>
    <col min="7943" max="7943" width="16" style="18" customWidth="1"/>
    <col min="7944" max="7944" width="26" style="18" customWidth="1"/>
    <col min="7945" max="7945" width="9" style="18"/>
    <col min="7946" max="7946" width="9" style="18" customWidth="1"/>
    <col min="7947" max="8193" width="9" style="18"/>
    <col min="8194" max="8194" width="9.86328125" style="18" customWidth="1"/>
    <col min="8195" max="8195" width="2" style="18" customWidth="1"/>
    <col min="8196" max="8196" width="12.53125" style="18" customWidth="1"/>
    <col min="8197" max="8197" width="1.86328125" style="18" customWidth="1"/>
    <col min="8198" max="8198" width="2" style="18" customWidth="1"/>
    <col min="8199" max="8199" width="16" style="18" customWidth="1"/>
    <col min="8200" max="8200" width="26" style="18" customWidth="1"/>
    <col min="8201" max="8201" width="9" style="18"/>
    <col min="8202" max="8202" width="9" style="18" customWidth="1"/>
    <col min="8203" max="8449" width="9" style="18"/>
    <col min="8450" max="8450" width="9.86328125" style="18" customWidth="1"/>
    <col min="8451" max="8451" width="2" style="18" customWidth="1"/>
    <col min="8452" max="8452" width="12.53125" style="18" customWidth="1"/>
    <col min="8453" max="8453" width="1.86328125" style="18" customWidth="1"/>
    <col min="8454" max="8454" width="2" style="18" customWidth="1"/>
    <col min="8455" max="8455" width="16" style="18" customWidth="1"/>
    <col min="8456" max="8456" width="26" style="18" customWidth="1"/>
    <col min="8457" max="8457" width="9" style="18"/>
    <col min="8458" max="8458" width="9" style="18" customWidth="1"/>
    <col min="8459" max="8705" width="9" style="18"/>
    <col min="8706" max="8706" width="9.86328125" style="18" customWidth="1"/>
    <col min="8707" max="8707" width="2" style="18" customWidth="1"/>
    <col min="8708" max="8708" width="12.53125" style="18" customWidth="1"/>
    <col min="8709" max="8709" width="1.86328125" style="18" customWidth="1"/>
    <col min="8710" max="8710" width="2" style="18" customWidth="1"/>
    <col min="8711" max="8711" width="16" style="18" customWidth="1"/>
    <col min="8712" max="8712" width="26" style="18" customWidth="1"/>
    <col min="8713" max="8713" width="9" style="18"/>
    <col min="8714" max="8714" width="9" style="18" customWidth="1"/>
    <col min="8715" max="8961" width="9" style="18"/>
    <col min="8962" max="8962" width="9.86328125" style="18" customWidth="1"/>
    <col min="8963" max="8963" width="2" style="18" customWidth="1"/>
    <col min="8964" max="8964" width="12.53125" style="18" customWidth="1"/>
    <col min="8965" max="8965" width="1.86328125" style="18" customWidth="1"/>
    <col min="8966" max="8966" width="2" style="18" customWidth="1"/>
    <col min="8967" max="8967" width="16" style="18" customWidth="1"/>
    <col min="8968" max="8968" width="26" style="18" customWidth="1"/>
    <col min="8969" max="8969" width="9" style="18"/>
    <col min="8970" max="8970" width="9" style="18" customWidth="1"/>
    <col min="8971" max="9217" width="9" style="18"/>
    <col min="9218" max="9218" width="9.86328125" style="18" customWidth="1"/>
    <col min="9219" max="9219" width="2" style="18" customWidth="1"/>
    <col min="9220" max="9220" width="12.53125" style="18" customWidth="1"/>
    <col min="9221" max="9221" width="1.86328125" style="18" customWidth="1"/>
    <col min="9222" max="9222" width="2" style="18" customWidth="1"/>
    <col min="9223" max="9223" width="16" style="18" customWidth="1"/>
    <col min="9224" max="9224" width="26" style="18" customWidth="1"/>
    <col min="9225" max="9225" width="9" style="18"/>
    <col min="9226" max="9226" width="9" style="18" customWidth="1"/>
    <col min="9227" max="9473" width="9" style="18"/>
    <col min="9474" max="9474" width="9.86328125" style="18" customWidth="1"/>
    <col min="9475" max="9475" width="2" style="18" customWidth="1"/>
    <col min="9476" max="9476" width="12.53125" style="18" customWidth="1"/>
    <col min="9477" max="9477" width="1.86328125" style="18" customWidth="1"/>
    <col min="9478" max="9478" width="2" style="18" customWidth="1"/>
    <col min="9479" max="9479" width="16" style="18" customWidth="1"/>
    <col min="9480" max="9480" width="26" style="18" customWidth="1"/>
    <col min="9481" max="9481" width="9" style="18"/>
    <col min="9482" max="9482" width="9" style="18" customWidth="1"/>
    <col min="9483" max="9729" width="9" style="18"/>
    <col min="9730" max="9730" width="9.86328125" style="18" customWidth="1"/>
    <col min="9731" max="9731" width="2" style="18" customWidth="1"/>
    <col min="9732" max="9732" width="12.53125" style="18" customWidth="1"/>
    <col min="9733" max="9733" width="1.86328125" style="18" customWidth="1"/>
    <col min="9734" max="9734" width="2" style="18" customWidth="1"/>
    <col min="9735" max="9735" width="16" style="18" customWidth="1"/>
    <col min="9736" max="9736" width="26" style="18" customWidth="1"/>
    <col min="9737" max="9737" width="9" style="18"/>
    <col min="9738" max="9738" width="9" style="18" customWidth="1"/>
    <col min="9739" max="9985" width="9" style="18"/>
    <col min="9986" max="9986" width="9.86328125" style="18" customWidth="1"/>
    <col min="9987" max="9987" width="2" style="18" customWidth="1"/>
    <col min="9988" max="9988" width="12.53125" style="18" customWidth="1"/>
    <col min="9989" max="9989" width="1.86328125" style="18" customWidth="1"/>
    <col min="9990" max="9990" width="2" style="18" customWidth="1"/>
    <col min="9991" max="9991" width="16" style="18" customWidth="1"/>
    <col min="9992" max="9992" width="26" style="18" customWidth="1"/>
    <col min="9993" max="9993" width="9" style="18"/>
    <col min="9994" max="9994" width="9" style="18" customWidth="1"/>
    <col min="9995" max="10241" width="9" style="18"/>
    <col min="10242" max="10242" width="9.86328125" style="18" customWidth="1"/>
    <col min="10243" max="10243" width="2" style="18" customWidth="1"/>
    <col min="10244" max="10244" width="12.53125" style="18" customWidth="1"/>
    <col min="10245" max="10245" width="1.86328125" style="18" customWidth="1"/>
    <col min="10246" max="10246" width="2" style="18" customWidth="1"/>
    <col min="10247" max="10247" width="16" style="18" customWidth="1"/>
    <col min="10248" max="10248" width="26" style="18" customWidth="1"/>
    <col min="10249" max="10249" width="9" style="18"/>
    <col min="10250" max="10250" width="9" style="18" customWidth="1"/>
    <col min="10251" max="10497" width="9" style="18"/>
    <col min="10498" max="10498" width="9.86328125" style="18" customWidth="1"/>
    <col min="10499" max="10499" width="2" style="18" customWidth="1"/>
    <col min="10500" max="10500" width="12.53125" style="18" customWidth="1"/>
    <col min="10501" max="10501" width="1.86328125" style="18" customWidth="1"/>
    <col min="10502" max="10502" width="2" style="18" customWidth="1"/>
    <col min="10503" max="10503" width="16" style="18" customWidth="1"/>
    <col min="10504" max="10504" width="26" style="18" customWidth="1"/>
    <col min="10505" max="10505" width="9" style="18"/>
    <col min="10506" max="10506" width="9" style="18" customWidth="1"/>
    <col min="10507" max="10753" width="9" style="18"/>
    <col min="10754" max="10754" width="9.86328125" style="18" customWidth="1"/>
    <col min="10755" max="10755" width="2" style="18" customWidth="1"/>
    <col min="10756" max="10756" width="12.53125" style="18" customWidth="1"/>
    <col min="10757" max="10757" width="1.86328125" style="18" customWidth="1"/>
    <col min="10758" max="10758" width="2" style="18" customWidth="1"/>
    <col min="10759" max="10759" width="16" style="18" customWidth="1"/>
    <col min="10760" max="10760" width="26" style="18" customWidth="1"/>
    <col min="10761" max="10761" width="9" style="18"/>
    <col min="10762" max="10762" width="9" style="18" customWidth="1"/>
    <col min="10763" max="11009" width="9" style="18"/>
    <col min="11010" max="11010" width="9.86328125" style="18" customWidth="1"/>
    <col min="11011" max="11011" width="2" style="18" customWidth="1"/>
    <col min="11012" max="11012" width="12.53125" style="18" customWidth="1"/>
    <col min="11013" max="11013" width="1.86328125" style="18" customWidth="1"/>
    <col min="11014" max="11014" width="2" style="18" customWidth="1"/>
    <col min="11015" max="11015" width="16" style="18" customWidth="1"/>
    <col min="11016" max="11016" width="26" style="18" customWidth="1"/>
    <col min="11017" max="11017" width="9" style="18"/>
    <col min="11018" max="11018" width="9" style="18" customWidth="1"/>
    <col min="11019" max="11265" width="9" style="18"/>
    <col min="11266" max="11266" width="9.86328125" style="18" customWidth="1"/>
    <col min="11267" max="11267" width="2" style="18" customWidth="1"/>
    <col min="11268" max="11268" width="12.53125" style="18" customWidth="1"/>
    <col min="11269" max="11269" width="1.86328125" style="18" customWidth="1"/>
    <col min="11270" max="11270" width="2" style="18" customWidth="1"/>
    <col min="11271" max="11271" width="16" style="18" customWidth="1"/>
    <col min="11272" max="11272" width="26" style="18" customWidth="1"/>
    <col min="11273" max="11273" width="9" style="18"/>
    <col min="11274" max="11274" width="9" style="18" customWidth="1"/>
    <col min="11275" max="11521" width="9" style="18"/>
    <col min="11522" max="11522" width="9.86328125" style="18" customWidth="1"/>
    <col min="11523" max="11523" width="2" style="18" customWidth="1"/>
    <col min="11524" max="11524" width="12.53125" style="18" customWidth="1"/>
    <col min="11525" max="11525" width="1.86328125" style="18" customWidth="1"/>
    <col min="11526" max="11526" width="2" style="18" customWidth="1"/>
    <col min="11527" max="11527" width="16" style="18" customWidth="1"/>
    <col min="11528" max="11528" width="26" style="18" customWidth="1"/>
    <col min="11529" max="11529" width="9" style="18"/>
    <col min="11530" max="11530" width="9" style="18" customWidth="1"/>
    <col min="11531" max="11777" width="9" style="18"/>
    <col min="11778" max="11778" width="9.86328125" style="18" customWidth="1"/>
    <col min="11779" max="11779" width="2" style="18" customWidth="1"/>
    <col min="11780" max="11780" width="12.53125" style="18" customWidth="1"/>
    <col min="11781" max="11781" width="1.86328125" style="18" customWidth="1"/>
    <col min="11782" max="11782" width="2" style="18" customWidth="1"/>
    <col min="11783" max="11783" width="16" style="18" customWidth="1"/>
    <col min="11784" max="11784" width="26" style="18" customWidth="1"/>
    <col min="11785" max="11785" width="9" style="18"/>
    <col min="11786" max="11786" width="9" style="18" customWidth="1"/>
    <col min="11787" max="12033" width="9" style="18"/>
    <col min="12034" max="12034" width="9.86328125" style="18" customWidth="1"/>
    <col min="12035" max="12035" width="2" style="18" customWidth="1"/>
    <col min="12036" max="12036" width="12.53125" style="18" customWidth="1"/>
    <col min="12037" max="12037" width="1.86328125" style="18" customWidth="1"/>
    <col min="12038" max="12038" width="2" style="18" customWidth="1"/>
    <col min="12039" max="12039" width="16" style="18" customWidth="1"/>
    <col min="12040" max="12040" width="26" style="18" customWidth="1"/>
    <col min="12041" max="12041" width="9" style="18"/>
    <col min="12042" max="12042" width="9" style="18" customWidth="1"/>
    <col min="12043" max="12289" width="9" style="18"/>
    <col min="12290" max="12290" width="9.86328125" style="18" customWidth="1"/>
    <col min="12291" max="12291" width="2" style="18" customWidth="1"/>
    <col min="12292" max="12292" width="12.53125" style="18" customWidth="1"/>
    <col min="12293" max="12293" width="1.86328125" style="18" customWidth="1"/>
    <col min="12294" max="12294" width="2" style="18" customWidth="1"/>
    <col min="12295" max="12295" width="16" style="18" customWidth="1"/>
    <col min="12296" max="12296" width="26" style="18" customWidth="1"/>
    <col min="12297" max="12297" width="9" style="18"/>
    <col min="12298" max="12298" width="9" style="18" customWidth="1"/>
    <col min="12299" max="12545" width="9" style="18"/>
    <col min="12546" max="12546" width="9.86328125" style="18" customWidth="1"/>
    <col min="12547" max="12547" width="2" style="18" customWidth="1"/>
    <col min="12548" max="12548" width="12.53125" style="18" customWidth="1"/>
    <col min="12549" max="12549" width="1.86328125" style="18" customWidth="1"/>
    <col min="12550" max="12550" width="2" style="18" customWidth="1"/>
    <col min="12551" max="12551" width="16" style="18" customWidth="1"/>
    <col min="12552" max="12552" width="26" style="18" customWidth="1"/>
    <col min="12553" max="12553" width="9" style="18"/>
    <col min="12554" max="12554" width="9" style="18" customWidth="1"/>
    <col min="12555" max="12801" width="9" style="18"/>
    <col min="12802" max="12802" width="9.86328125" style="18" customWidth="1"/>
    <col min="12803" max="12803" width="2" style="18" customWidth="1"/>
    <col min="12804" max="12804" width="12.53125" style="18" customWidth="1"/>
    <col min="12805" max="12805" width="1.86328125" style="18" customWidth="1"/>
    <col min="12806" max="12806" width="2" style="18" customWidth="1"/>
    <col min="12807" max="12807" width="16" style="18" customWidth="1"/>
    <col min="12808" max="12808" width="26" style="18" customWidth="1"/>
    <col min="12809" max="12809" width="9" style="18"/>
    <col min="12810" max="12810" width="9" style="18" customWidth="1"/>
    <col min="12811" max="13057" width="9" style="18"/>
    <col min="13058" max="13058" width="9.86328125" style="18" customWidth="1"/>
    <col min="13059" max="13059" width="2" style="18" customWidth="1"/>
    <col min="13060" max="13060" width="12.53125" style="18" customWidth="1"/>
    <col min="13061" max="13061" width="1.86328125" style="18" customWidth="1"/>
    <col min="13062" max="13062" width="2" style="18" customWidth="1"/>
    <col min="13063" max="13063" width="16" style="18" customWidth="1"/>
    <col min="13064" max="13064" width="26" style="18" customWidth="1"/>
    <col min="13065" max="13065" width="9" style="18"/>
    <col min="13066" max="13066" width="9" style="18" customWidth="1"/>
    <col min="13067" max="13313" width="9" style="18"/>
    <col min="13314" max="13314" width="9.86328125" style="18" customWidth="1"/>
    <col min="13315" max="13315" width="2" style="18" customWidth="1"/>
    <col min="13316" max="13316" width="12.53125" style="18" customWidth="1"/>
    <col min="13317" max="13317" width="1.86328125" style="18" customWidth="1"/>
    <col min="13318" max="13318" width="2" style="18" customWidth="1"/>
    <col min="13319" max="13319" width="16" style="18" customWidth="1"/>
    <col min="13320" max="13320" width="26" style="18" customWidth="1"/>
    <col min="13321" max="13321" width="9" style="18"/>
    <col min="13322" max="13322" width="9" style="18" customWidth="1"/>
    <col min="13323" max="13569" width="9" style="18"/>
    <col min="13570" max="13570" width="9.86328125" style="18" customWidth="1"/>
    <col min="13571" max="13571" width="2" style="18" customWidth="1"/>
    <col min="13572" max="13572" width="12.53125" style="18" customWidth="1"/>
    <col min="13573" max="13573" width="1.86328125" style="18" customWidth="1"/>
    <col min="13574" max="13574" width="2" style="18" customWidth="1"/>
    <col min="13575" max="13575" width="16" style="18" customWidth="1"/>
    <col min="13576" max="13576" width="26" style="18" customWidth="1"/>
    <col min="13577" max="13577" width="9" style="18"/>
    <col min="13578" max="13578" width="9" style="18" customWidth="1"/>
    <col min="13579" max="13825" width="9" style="18"/>
    <col min="13826" max="13826" width="9.86328125" style="18" customWidth="1"/>
    <col min="13827" max="13827" width="2" style="18" customWidth="1"/>
    <col min="13828" max="13828" width="12.53125" style="18" customWidth="1"/>
    <col min="13829" max="13829" width="1.86328125" style="18" customWidth="1"/>
    <col min="13830" max="13830" width="2" style="18" customWidth="1"/>
    <col min="13831" max="13831" width="16" style="18" customWidth="1"/>
    <col min="13832" max="13832" width="26" style="18" customWidth="1"/>
    <col min="13833" max="13833" width="9" style="18"/>
    <col min="13834" max="13834" width="9" style="18" customWidth="1"/>
    <col min="13835" max="14081" width="9" style="18"/>
    <col min="14082" max="14082" width="9.86328125" style="18" customWidth="1"/>
    <col min="14083" max="14083" width="2" style="18" customWidth="1"/>
    <col min="14084" max="14084" width="12.53125" style="18" customWidth="1"/>
    <col min="14085" max="14085" width="1.86328125" style="18" customWidth="1"/>
    <col min="14086" max="14086" width="2" style="18" customWidth="1"/>
    <col min="14087" max="14087" width="16" style="18" customWidth="1"/>
    <col min="14088" max="14088" width="26" style="18" customWidth="1"/>
    <col min="14089" max="14089" width="9" style="18"/>
    <col min="14090" max="14090" width="9" style="18" customWidth="1"/>
    <col min="14091" max="14337" width="9" style="18"/>
    <col min="14338" max="14338" width="9.86328125" style="18" customWidth="1"/>
    <col min="14339" max="14339" width="2" style="18" customWidth="1"/>
    <col min="14340" max="14340" width="12.53125" style="18" customWidth="1"/>
    <col min="14341" max="14341" width="1.86328125" style="18" customWidth="1"/>
    <col min="14342" max="14342" width="2" style="18" customWidth="1"/>
    <col min="14343" max="14343" width="16" style="18" customWidth="1"/>
    <col min="14344" max="14344" width="26" style="18" customWidth="1"/>
    <col min="14345" max="14345" width="9" style="18"/>
    <col min="14346" max="14346" width="9" style="18" customWidth="1"/>
    <col min="14347" max="14593" width="9" style="18"/>
    <col min="14594" max="14594" width="9.86328125" style="18" customWidth="1"/>
    <col min="14595" max="14595" width="2" style="18" customWidth="1"/>
    <col min="14596" max="14596" width="12.53125" style="18" customWidth="1"/>
    <col min="14597" max="14597" width="1.86328125" style="18" customWidth="1"/>
    <col min="14598" max="14598" width="2" style="18" customWidth="1"/>
    <col min="14599" max="14599" width="16" style="18" customWidth="1"/>
    <col min="14600" max="14600" width="26" style="18" customWidth="1"/>
    <col min="14601" max="14601" width="9" style="18"/>
    <col min="14602" max="14602" width="9" style="18" customWidth="1"/>
    <col min="14603" max="14849" width="9" style="18"/>
    <col min="14850" max="14850" width="9.86328125" style="18" customWidth="1"/>
    <col min="14851" max="14851" width="2" style="18" customWidth="1"/>
    <col min="14852" max="14852" width="12.53125" style="18" customWidth="1"/>
    <col min="14853" max="14853" width="1.86328125" style="18" customWidth="1"/>
    <col min="14854" max="14854" width="2" style="18" customWidth="1"/>
    <col min="14855" max="14855" width="16" style="18" customWidth="1"/>
    <col min="14856" max="14856" width="26" style="18" customWidth="1"/>
    <col min="14857" max="14857" width="9" style="18"/>
    <col min="14858" max="14858" width="9" style="18" customWidth="1"/>
    <col min="14859" max="15105" width="9" style="18"/>
    <col min="15106" max="15106" width="9.86328125" style="18" customWidth="1"/>
    <col min="15107" max="15107" width="2" style="18" customWidth="1"/>
    <col min="15108" max="15108" width="12.53125" style="18" customWidth="1"/>
    <col min="15109" max="15109" width="1.86328125" style="18" customWidth="1"/>
    <col min="15110" max="15110" width="2" style="18" customWidth="1"/>
    <col min="15111" max="15111" width="16" style="18" customWidth="1"/>
    <col min="15112" max="15112" width="26" style="18" customWidth="1"/>
    <col min="15113" max="15113" width="9" style="18"/>
    <col min="15114" max="15114" width="9" style="18" customWidth="1"/>
    <col min="15115" max="15361" width="9" style="18"/>
    <col min="15362" max="15362" width="9.86328125" style="18" customWidth="1"/>
    <col min="15363" max="15363" width="2" style="18" customWidth="1"/>
    <col min="15364" max="15364" width="12.53125" style="18" customWidth="1"/>
    <col min="15365" max="15365" width="1.86328125" style="18" customWidth="1"/>
    <col min="15366" max="15366" width="2" style="18" customWidth="1"/>
    <col min="15367" max="15367" width="16" style="18" customWidth="1"/>
    <col min="15368" max="15368" width="26" style="18" customWidth="1"/>
    <col min="15369" max="15369" width="9" style="18"/>
    <col min="15370" max="15370" width="9" style="18" customWidth="1"/>
    <col min="15371" max="15617" width="9" style="18"/>
    <col min="15618" max="15618" width="9.86328125" style="18" customWidth="1"/>
    <col min="15619" max="15619" width="2" style="18" customWidth="1"/>
    <col min="15620" max="15620" width="12.53125" style="18" customWidth="1"/>
    <col min="15621" max="15621" width="1.86328125" style="18" customWidth="1"/>
    <col min="15622" max="15622" width="2" style="18" customWidth="1"/>
    <col min="15623" max="15623" width="16" style="18" customWidth="1"/>
    <col min="15624" max="15624" width="26" style="18" customWidth="1"/>
    <col min="15625" max="15625" width="9" style="18"/>
    <col min="15626" max="15626" width="9" style="18" customWidth="1"/>
    <col min="15627" max="15873" width="9" style="18"/>
    <col min="15874" max="15874" width="9.86328125" style="18" customWidth="1"/>
    <col min="15875" max="15875" width="2" style="18" customWidth="1"/>
    <col min="15876" max="15876" width="12.53125" style="18" customWidth="1"/>
    <col min="15877" max="15877" width="1.86328125" style="18" customWidth="1"/>
    <col min="15878" max="15878" width="2" style="18" customWidth="1"/>
    <col min="15879" max="15879" width="16" style="18" customWidth="1"/>
    <col min="15880" max="15880" width="26" style="18" customWidth="1"/>
    <col min="15881" max="15881" width="9" style="18"/>
    <col min="15882" max="15882" width="9" style="18" customWidth="1"/>
    <col min="15883" max="16129" width="9" style="18"/>
    <col min="16130" max="16130" width="9.86328125" style="18" customWidth="1"/>
    <col min="16131" max="16131" width="2" style="18" customWidth="1"/>
    <col min="16132" max="16132" width="12.53125" style="18" customWidth="1"/>
    <col min="16133" max="16133" width="1.86328125" style="18" customWidth="1"/>
    <col min="16134" max="16134" width="2" style="18" customWidth="1"/>
    <col min="16135" max="16135" width="16" style="18" customWidth="1"/>
    <col min="16136" max="16136" width="26" style="18" customWidth="1"/>
    <col min="16137" max="16137" width="9" style="18"/>
    <col min="16138" max="16138" width="9" style="18" customWidth="1"/>
    <col min="16139" max="16384" width="9" style="18"/>
  </cols>
  <sheetData>
    <row r="1" spans="1:12">
      <c r="A1" s="37" t="s">
        <v>1264</v>
      </c>
      <c r="B1" s="64"/>
      <c r="C1" s="64"/>
      <c r="D1" s="64"/>
      <c r="E1" s="64"/>
      <c r="F1" s="64"/>
      <c r="G1" s="64"/>
      <c r="H1" s="64"/>
      <c r="I1" s="64"/>
      <c r="J1" s="64"/>
    </row>
    <row r="2" spans="1:12" ht="15" customHeight="1">
      <c r="A2" s="37" t="s">
        <v>1265</v>
      </c>
      <c r="B2" s="37"/>
      <c r="C2" s="37"/>
      <c r="D2" s="37"/>
      <c r="E2" s="37"/>
      <c r="F2" s="37"/>
      <c r="G2" s="37"/>
      <c r="H2" s="37"/>
      <c r="I2" s="37"/>
      <c r="J2" s="37"/>
      <c r="K2" s="37"/>
    </row>
    <row r="3" spans="1:12" ht="15" customHeight="1">
      <c r="A3" s="60"/>
      <c r="B3" s="60"/>
      <c r="C3" s="60"/>
      <c r="D3" s="60"/>
      <c r="E3" s="60"/>
      <c r="F3" s="60"/>
      <c r="G3" s="60"/>
      <c r="H3" s="60"/>
      <c r="I3" s="60"/>
      <c r="J3" s="60"/>
      <c r="K3" s="60"/>
    </row>
    <row r="4" spans="1:12" ht="15" customHeight="1">
      <c r="A4" s="60" t="s">
        <v>1266</v>
      </c>
      <c r="B4" s="60"/>
      <c r="C4" s="60"/>
      <c r="D4" s="60" t="s">
        <v>2</v>
      </c>
      <c r="E4" s="60" t="str">
        <f>bu_nama</f>
        <v>PT. DARUSSALAM MEDIA GROUP</v>
      </c>
      <c r="F4" s="60"/>
      <c r="G4" s="60"/>
      <c r="H4" s="60"/>
      <c r="I4" s="60"/>
      <c r="J4" s="60"/>
      <c r="K4" s="60"/>
    </row>
    <row r="5" spans="1:12" ht="15" customHeight="1">
      <c r="A5" s="60" t="s">
        <v>1197</v>
      </c>
      <c r="B5" s="60"/>
      <c r="C5" s="60"/>
      <c r="D5" s="60" t="s">
        <v>2</v>
      </c>
      <c r="E5" s="60" t="str">
        <f>Input!H91</f>
        <v>3 Agustus 2023</v>
      </c>
      <c r="F5" s="60"/>
      <c r="G5" s="60"/>
      <c r="H5" s="60"/>
      <c r="I5" s="60"/>
      <c r="J5" s="60"/>
      <c r="K5" s="60"/>
    </row>
    <row r="6" spans="1:12" ht="15" hidden="1" customHeight="1">
      <c r="A6" s="60" t="s">
        <v>975</v>
      </c>
      <c r="B6" s="60"/>
      <c r="C6" s="60"/>
      <c r="D6" s="60" t="s">
        <v>2</v>
      </c>
      <c r="E6" s="60"/>
      <c r="F6" s="60"/>
      <c r="G6" s="60"/>
      <c r="H6" s="60"/>
      <c r="I6" s="60"/>
      <c r="J6" s="60"/>
      <c r="K6" s="60"/>
    </row>
    <row r="7" spans="1:12" ht="15" customHeight="1">
      <c r="A7" s="60" t="s">
        <v>295</v>
      </c>
      <c r="B7" s="60"/>
      <c r="C7" s="60"/>
      <c r="D7" s="60" t="s">
        <v>2</v>
      </c>
      <c r="E7" s="1089" t="str">
        <f>paket</f>
        <v>Belanja Pemeliharaan Bangunan Gedung-Bangunan Gedung Tempat Kerja-Bangunan Gedung Kantor-Pemeliharaan Gedung Bertingkat</v>
      </c>
      <c r="F7" s="1089"/>
      <c r="G7" s="1089"/>
      <c r="H7" s="1089"/>
      <c r="I7" s="1089"/>
      <c r="J7" s="1089"/>
      <c r="K7" s="60"/>
    </row>
    <row r="8" spans="1:12" ht="29.1" customHeight="1">
      <c r="A8" s="60"/>
      <c r="B8" s="60"/>
      <c r="C8" s="60"/>
      <c r="D8" s="60"/>
      <c r="E8" s="1089"/>
      <c r="F8" s="1089"/>
      <c r="G8" s="1089"/>
      <c r="H8" s="1089"/>
      <c r="I8" s="1089"/>
      <c r="J8" s="1089"/>
      <c r="K8" s="60"/>
    </row>
    <row r="9" spans="1:12" ht="15" customHeight="1">
      <c r="A9" s="60" t="s">
        <v>18</v>
      </c>
      <c r="B9" s="60"/>
      <c r="C9" s="60"/>
      <c r="D9" s="60" t="s">
        <v>2</v>
      </c>
      <c r="E9" s="60" t="str">
        <f>dana</f>
        <v>DPA</v>
      </c>
      <c r="F9" s="60"/>
      <c r="G9" s="60"/>
      <c r="H9" s="60"/>
      <c r="I9" s="60"/>
      <c r="J9" s="60"/>
      <c r="K9" s="60"/>
    </row>
    <row r="10" spans="1:12" ht="15" customHeight="1">
      <c r="A10" s="60" t="s">
        <v>1267</v>
      </c>
      <c r="B10" s="60"/>
      <c r="C10" s="60"/>
      <c r="D10" s="60" t="s">
        <v>2</v>
      </c>
      <c r="E10" s="60" t="str">
        <f>lingkup</f>
        <v>Pengecatan tembok eksterior dan panel ACP Gedung Kantor BPKAD</v>
      </c>
      <c r="F10" s="60"/>
      <c r="G10" s="60"/>
      <c r="H10" s="60"/>
      <c r="I10" s="60"/>
      <c r="J10" s="60"/>
      <c r="K10" s="60"/>
    </row>
    <row r="11" spans="1:12">
      <c r="A11" s="64"/>
      <c r="B11" s="64"/>
      <c r="C11" s="64"/>
      <c r="D11" s="64"/>
      <c r="E11" s="64"/>
      <c r="F11" s="64"/>
      <c r="G11" s="64"/>
      <c r="H11" s="64"/>
      <c r="I11" s="64"/>
      <c r="J11" s="64"/>
    </row>
    <row r="12" spans="1:12" s="56" customFormat="1" ht="40.799999999999997" customHeight="1">
      <c r="A12" s="76" t="s">
        <v>258</v>
      </c>
      <c r="B12" s="900" t="s">
        <v>298</v>
      </c>
      <c r="C12" s="901"/>
      <c r="D12" s="901"/>
      <c r="E12" s="901"/>
      <c r="F12" s="79"/>
      <c r="G12" s="76" t="s">
        <v>332</v>
      </c>
      <c r="H12" s="76" t="s">
        <v>333</v>
      </c>
      <c r="I12" s="80" t="s">
        <v>382</v>
      </c>
      <c r="J12" s="81" t="s">
        <v>1268</v>
      </c>
      <c r="K12" s="37"/>
      <c r="L12" s="71" t="s">
        <v>253</v>
      </c>
    </row>
    <row r="13" spans="1:12" s="56" customFormat="1" ht="15" customHeight="1">
      <c r="A13" s="82"/>
      <c r="B13" s="1316"/>
      <c r="C13" s="1317"/>
      <c r="D13" s="1317"/>
      <c r="E13" s="1317"/>
      <c r="F13" s="851"/>
      <c r="G13" s="83"/>
      <c r="H13" s="823"/>
      <c r="I13" s="84"/>
      <c r="J13" s="84"/>
      <c r="K13" s="44"/>
    </row>
    <row r="14" spans="1:12" s="56" customFormat="1">
      <c r="A14" s="85">
        <f>IF(B14&lt;&gt;0,MAX(A11:A13)+1,0)</f>
        <v>1</v>
      </c>
      <c r="B14" s="1318" t="str">
        <f>PPK.HPS!B16</f>
        <v>PEKERJAAN PERSIAPAN</v>
      </c>
      <c r="C14" s="1319"/>
      <c r="D14" s="1319"/>
      <c r="E14" s="1319"/>
      <c r="F14" s="853"/>
      <c r="G14" s="86">
        <f>PPK.HPS!F16</f>
        <v>0</v>
      </c>
      <c r="H14" s="824">
        <f>PPK.HPS!G16</f>
        <v>0</v>
      </c>
      <c r="I14" s="87">
        <f>Nego!I9</f>
        <v>0</v>
      </c>
      <c r="J14" s="87">
        <f t="shared" ref="J14:J39" si="0">IF(B14=0,0,H14*I14)</f>
        <v>0</v>
      </c>
      <c r="K14" s="37"/>
      <c r="L14" s="111" t="s">
        <v>1269</v>
      </c>
    </row>
    <row r="15" spans="1:12" s="56" customFormat="1" ht="15" customHeight="1">
      <c r="A15" s="85">
        <f>IF(B15&lt;&gt;0,MAX(A12:A14)+1,0)</f>
        <v>2</v>
      </c>
      <c r="B15" s="1318" t="str">
        <f>PPK.HPS!B17</f>
        <v>Pengukuran</v>
      </c>
      <c r="C15" s="1319"/>
      <c r="D15" s="1319"/>
      <c r="E15" s="1319"/>
      <c r="F15" s="853"/>
      <c r="G15" s="86" t="str">
        <f>PPK.HPS!F17</f>
        <v>keg</v>
      </c>
      <c r="H15" s="824">
        <f>PPK.HPS!G17</f>
        <v>1</v>
      </c>
      <c r="I15" s="87">
        <f>Nego!I10</f>
        <v>200000</v>
      </c>
      <c r="J15" s="87">
        <f t="shared" si="0"/>
        <v>200000</v>
      </c>
      <c r="K15" s="37"/>
    </row>
    <row r="16" spans="1:12" s="56" customFormat="1" ht="15" customHeight="1">
      <c r="A16" s="85">
        <f>IF(B16&lt;&gt;0,MAX(A13:A15)+1,0)</f>
        <v>3</v>
      </c>
      <c r="B16" s="1318" t="str">
        <f>PPK.HPS!B18</f>
        <v>Pembersihan Lokasi</v>
      </c>
      <c r="C16" s="1319"/>
      <c r="D16" s="1319"/>
      <c r="E16" s="1319"/>
      <c r="F16" s="853"/>
      <c r="G16" s="86" t="str">
        <f>PPK.HPS!F18</f>
        <v>keg</v>
      </c>
      <c r="H16" s="824">
        <f>PPK.HPS!G18</f>
        <v>1</v>
      </c>
      <c r="I16" s="87">
        <f>Nego!I11</f>
        <v>300000</v>
      </c>
      <c r="J16" s="87">
        <f t="shared" si="0"/>
        <v>300000</v>
      </c>
      <c r="K16" s="37"/>
    </row>
    <row r="17" spans="1:11" s="56" customFormat="1" ht="15" customHeight="1">
      <c r="A17" s="85">
        <f t="shared" ref="A17:A39" si="1">IF(B17&lt;&gt;0,MAX(A13:A16)+1,0)</f>
        <v>0</v>
      </c>
      <c r="B17" s="1318">
        <f>PPK.HPS!B19</f>
        <v>0</v>
      </c>
      <c r="C17" s="1319"/>
      <c r="D17" s="1319"/>
      <c r="E17" s="1319"/>
      <c r="F17" s="853"/>
      <c r="G17" s="86">
        <f>PPK.HPS!F19</f>
        <v>0</v>
      </c>
      <c r="H17" s="824">
        <f>PPK.HPS!G19</f>
        <v>0</v>
      </c>
      <c r="I17" s="87">
        <f>Nego!I12</f>
        <v>0</v>
      </c>
      <c r="J17" s="87">
        <f t="shared" si="0"/>
        <v>0</v>
      </c>
      <c r="K17" s="37"/>
    </row>
    <row r="18" spans="1:11" s="56" customFormat="1" ht="15" customHeight="1">
      <c r="A18" s="85">
        <f t="shared" si="1"/>
        <v>4</v>
      </c>
      <c r="B18" s="1318" t="str">
        <f>PPK.HPS!B20</f>
        <v>SMK3 KONSTRUKSI</v>
      </c>
      <c r="C18" s="1319"/>
      <c r="D18" s="1319"/>
      <c r="E18" s="1319"/>
      <c r="F18" s="853"/>
      <c r="G18" s="86">
        <f>PPK.HPS!F20</f>
        <v>0</v>
      </c>
      <c r="H18" s="824">
        <f>PPK.HPS!G20</f>
        <v>0</v>
      </c>
      <c r="I18" s="87">
        <f>Nego!I13</f>
        <v>0</v>
      </c>
      <c r="J18" s="87">
        <f t="shared" si="0"/>
        <v>0</v>
      </c>
      <c r="K18" s="37"/>
    </row>
    <row r="19" spans="1:11" s="56" customFormat="1" ht="15" customHeight="1">
      <c r="A19" s="85">
        <f t="shared" si="1"/>
        <v>5</v>
      </c>
      <c r="B19" s="1318" t="str">
        <f>PPK.HPS!B21</f>
        <v>Alat Pelindung Kerja dan Alat Pelindung Diri</v>
      </c>
      <c r="C19" s="1319"/>
      <c r="D19" s="1319"/>
      <c r="E19" s="1319"/>
      <c r="F19" s="853"/>
      <c r="G19" s="86" t="str">
        <f>PPK.HPS!F21</f>
        <v>set</v>
      </c>
      <c r="H19" s="824">
        <f>PPK.HPS!G21</f>
        <v>5</v>
      </c>
      <c r="I19" s="87">
        <f>Nego!I14</f>
        <v>75000</v>
      </c>
      <c r="J19" s="87">
        <f t="shared" si="0"/>
        <v>375000</v>
      </c>
      <c r="K19" s="37"/>
    </row>
    <row r="20" spans="1:11" s="56" customFormat="1" ht="15" customHeight="1">
      <c r="A20" s="85">
        <f t="shared" si="1"/>
        <v>0</v>
      </c>
      <c r="B20" s="1318">
        <f>PPK.HPS!B22</f>
        <v>0</v>
      </c>
      <c r="C20" s="1319"/>
      <c r="D20" s="1319"/>
      <c r="E20" s="1319"/>
      <c r="F20" s="853"/>
      <c r="G20" s="86">
        <f>PPK.HPS!F22</f>
        <v>0</v>
      </c>
      <c r="H20" s="824">
        <f>PPK.HPS!G22</f>
        <v>0</v>
      </c>
      <c r="I20" s="87">
        <f>Nego!I15</f>
        <v>0</v>
      </c>
      <c r="J20" s="87">
        <f t="shared" si="0"/>
        <v>0</v>
      </c>
      <c r="K20" s="37"/>
    </row>
    <row r="21" spans="1:11" s="56" customFormat="1" ht="15" customHeight="1">
      <c r="A21" s="85">
        <f t="shared" si="1"/>
        <v>6</v>
      </c>
      <c r="B21" s="1318" t="str">
        <f>PPK.HPS!B23</f>
        <v>PEKERJAAN PENGECATAN</v>
      </c>
      <c r="C21" s="1319"/>
      <c r="D21" s="1319"/>
      <c r="E21" s="1319"/>
      <c r="F21" s="853"/>
      <c r="G21" s="86">
        <f>PPK.HPS!F23</f>
        <v>0</v>
      </c>
      <c r="H21" s="824">
        <f>PPK.HPS!G23</f>
        <v>0</v>
      </c>
      <c r="I21" s="87">
        <f>Nego!I16</f>
        <v>0</v>
      </c>
      <c r="J21" s="87">
        <f t="shared" si="0"/>
        <v>0</v>
      </c>
      <c r="K21" s="37"/>
    </row>
    <row r="22" spans="1:11" s="56" customFormat="1" ht="15" customHeight="1">
      <c r="A22" s="85">
        <f t="shared" si="1"/>
        <v>7</v>
      </c>
      <c r="B22" s="1318" t="str">
        <f>PPK.HPS!B24</f>
        <v>Sewa stager</v>
      </c>
      <c r="C22" s="1319"/>
      <c r="D22" s="1319"/>
      <c r="E22" s="1319"/>
      <c r="F22" s="853"/>
      <c r="G22" s="86" t="str">
        <f>PPK.HPS!F24</f>
        <v>keg</v>
      </c>
      <c r="H22" s="824">
        <f>PPK.HPS!G24</f>
        <v>1</v>
      </c>
      <c r="I22" s="87">
        <f>Nego!I17</f>
        <v>4500000</v>
      </c>
      <c r="J22" s="87">
        <f t="shared" si="0"/>
        <v>4500000</v>
      </c>
      <c r="K22" s="37"/>
    </row>
    <row r="23" spans="1:11" s="56" customFormat="1" ht="15" customHeight="1">
      <c r="A23" s="85">
        <f t="shared" si="1"/>
        <v>8</v>
      </c>
      <c r="B23" s="1318" t="str">
        <f>PPK.HPS!B25</f>
        <v xml:space="preserve">Pengerokan cat yang terkelupas </v>
      </c>
      <c r="C23" s="1319"/>
      <c r="D23" s="1319"/>
      <c r="E23" s="1319"/>
      <c r="F23" s="853"/>
      <c r="G23" s="86" t="str">
        <f>PPK.HPS!F25</f>
        <v>m2</v>
      </c>
      <c r="H23" s="824">
        <f>PPK.HPS!G25</f>
        <v>168.58</v>
      </c>
      <c r="I23" s="87">
        <f>Nego!I18</f>
        <v>19719.974999999999</v>
      </c>
      <c r="J23" s="87">
        <f t="shared" si="0"/>
        <v>3324393.3854999999</v>
      </c>
      <c r="K23" s="37"/>
    </row>
    <row r="24" spans="1:11" s="56" customFormat="1" ht="15" customHeight="1">
      <c r="A24" s="85">
        <f t="shared" si="1"/>
        <v>9</v>
      </c>
      <c r="B24" s="1318" t="str">
        <f>PPK.HPS!B26</f>
        <v>Pengecatan ulang dinding luar</v>
      </c>
      <c r="C24" s="1319"/>
      <c r="D24" s="1319"/>
      <c r="E24" s="1319"/>
      <c r="F24" s="853"/>
      <c r="G24" s="86" t="str">
        <f>PPK.HPS!F26</f>
        <v>m2</v>
      </c>
      <c r="H24" s="824">
        <f>PPK.HPS!G26</f>
        <v>842.91</v>
      </c>
      <c r="I24" s="87">
        <f>Nego!I19</f>
        <v>40683.290999999997</v>
      </c>
      <c r="J24" s="87">
        <f t="shared" si="0"/>
        <v>34292352.816809997</v>
      </c>
      <c r="K24" s="37"/>
    </row>
    <row r="25" spans="1:11" s="56" customFormat="1" ht="15" customHeight="1">
      <c r="A25" s="85">
        <f t="shared" si="1"/>
        <v>10</v>
      </c>
      <c r="B25" s="1318" t="str">
        <f>PPK.HPS!B27</f>
        <v>Pengecatan ACP dengan cat besi</v>
      </c>
      <c r="C25" s="1319"/>
      <c r="D25" s="1319"/>
      <c r="E25" s="1319"/>
      <c r="F25" s="853"/>
      <c r="G25" s="86" t="str">
        <f>PPK.HPS!F27</f>
        <v>m2</v>
      </c>
      <c r="H25" s="824">
        <f>PPK.HPS!G27</f>
        <v>419</v>
      </c>
      <c r="I25" s="87">
        <f>Nego!I20</f>
        <v>47607.593000000001</v>
      </c>
      <c r="J25" s="87">
        <f t="shared" si="0"/>
        <v>19947581.467</v>
      </c>
      <c r="K25" s="37"/>
    </row>
    <row r="26" spans="1:11" s="56" customFormat="1" ht="15" customHeight="1">
      <c r="A26" s="85">
        <f t="shared" si="1"/>
        <v>0</v>
      </c>
      <c r="B26" s="1318">
        <f>PPK.HPS!B28</f>
        <v>0</v>
      </c>
      <c r="C26" s="1319"/>
      <c r="D26" s="1319"/>
      <c r="E26" s="1319"/>
      <c r="F26" s="853"/>
      <c r="G26" s="86">
        <f>PPK.HPS!F28</f>
        <v>0</v>
      </c>
      <c r="H26" s="824">
        <f>PPK.HPS!G28</f>
        <v>0</v>
      </c>
      <c r="I26" s="87">
        <f>Nego!I21</f>
        <v>0</v>
      </c>
      <c r="J26" s="87">
        <f t="shared" si="0"/>
        <v>0</v>
      </c>
      <c r="K26" s="37"/>
    </row>
    <row r="27" spans="1:11" s="56" customFormat="1" ht="15" customHeight="1">
      <c r="A27" s="85">
        <f t="shared" si="1"/>
        <v>0</v>
      </c>
      <c r="B27" s="1318">
        <f>PPK.HPS!B29</f>
        <v>0</v>
      </c>
      <c r="C27" s="1319"/>
      <c r="D27" s="1319"/>
      <c r="E27" s="1319"/>
      <c r="F27" s="853"/>
      <c r="G27" s="86">
        <f>PPK.HPS!F29</f>
        <v>0</v>
      </c>
      <c r="H27" s="824">
        <f>PPK.HPS!G29</f>
        <v>0</v>
      </c>
      <c r="I27" s="87">
        <f>Nego!I22</f>
        <v>0</v>
      </c>
      <c r="J27" s="87">
        <f t="shared" si="0"/>
        <v>0</v>
      </c>
      <c r="K27" s="37"/>
    </row>
    <row r="28" spans="1:11" s="56" customFormat="1" ht="15" customHeight="1">
      <c r="A28" s="85">
        <f t="shared" si="1"/>
        <v>0</v>
      </c>
      <c r="B28" s="1318">
        <f>PPK.HPS!B30</f>
        <v>0</v>
      </c>
      <c r="C28" s="1319"/>
      <c r="D28" s="1319"/>
      <c r="E28" s="1319"/>
      <c r="F28" s="853"/>
      <c r="G28" s="86">
        <f>PPK.HPS!F30</f>
        <v>0</v>
      </c>
      <c r="H28" s="824">
        <f>PPK.HPS!G30</f>
        <v>0</v>
      </c>
      <c r="I28" s="87">
        <f>Nego!I23</f>
        <v>0</v>
      </c>
      <c r="J28" s="87">
        <f t="shared" si="0"/>
        <v>0</v>
      </c>
      <c r="K28" s="37"/>
    </row>
    <row r="29" spans="1:11" s="56" customFormat="1" ht="15" customHeight="1">
      <c r="A29" s="85">
        <f t="shared" si="1"/>
        <v>0</v>
      </c>
      <c r="B29" s="1318">
        <f>PPK.HPS!B31</f>
        <v>0</v>
      </c>
      <c r="C29" s="1319"/>
      <c r="D29" s="1319"/>
      <c r="E29" s="1319"/>
      <c r="F29" s="853"/>
      <c r="G29" s="86">
        <f>PPK.HPS!F31</f>
        <v>0</v>
      </c>
      <c r="H29" s="824">
        <f>PPK.HPS!G31</f>
        <v>0</v>
      </c>
      <c r="I29" s="87">
        <f>Nego!I24</f>
        <v>0</v>
      </c>
      <c r="J29" s="87">
        <f t="shared" si="0"/>
        <v>0</v>
      </c>
      <c r="K29" s="37"/>
    </row>
    <row r="30" spans="1:11" s="56" customFormat="1" ht="15" customHeight="1">
      <c r="A30" s="85">
        <f t="shared" si="1"/>
        <v>0</v>
      </c>
      <c r="B30" s="1318">
        <f>PPK.HPS!B32</f>
        <v>0</v>
      </c>
      <c r="C30" s="1319"/>
      <c r="D30" s="1319"/>
      <c r="E30" s="1319"/>
      <c r="F30" s="853"/>
      <c r="G30" s="86">
        <f>PPK.HPS!F32</f>
        <v>0</v>
      </c>
      <c r="H30" s="824">
        <f>PPK.HPS!G32</f>
        <v>0</v>
      </c>
      <c r="I30" s="87">
        <f>Nego!I25</f>
        <v>0</v>
      </c>
      <c r="J30" s="87">
        <f t="shared" si="0"/>
        <v>0</v>
      </c>
      <c r="K30" s="37"/>
    </row>
    <row r="31" spans="1:11" s="56" customFormat="1" ht="15" customHeight="1">
      <c r="A31" s="85">
        <f t="shared" si="1"/>
        <v>0</v>
      </c>
      <c r="B31" s="1318">
        <f>PPK.HPS!B33</f>
        <v>0</v>
      </c>
      <c r="C31" s="1319"/>
      <c r="D31" s="1319"/>
      <c r="E31" s="1319"/>
      <c r="F31" s="853"/>
      <c r="G31" s="86">
        <f>PPK.HPS!F33</f>
        <v>0</v>
      </c>
      <c r="H31" s="824">
        <f>PPK.HPS!G33</f>
        <v>0</v>
      </c>
      <c r="I31" s="87">
        <f>Nego!I26</f>
        <v>0</v>
      </c>
      <c r="J31" s="87">
        <f t="shared" si="0"/>
        <v>0</v>
      </c>
      <c r="K31" s="37"/>
    </row>
    <row r="32" spans="1:11" s="56" customFormat="1" ht="15" hidden="1" customHeight="1">
      <c r="A32" s="85">
        <f t="shared" si="1"/>
        <v>0</v>
      </c>
      <c r="B32" s="1318">
        <f>PPK.HPS!B34</f>
        <v>0</v>
      </c>
      <c r="C32" s="1319"/>
      <c r="D32" s="1319"/>
      <c r="E32" s="1319"/>
      <c r="F32" s="853"/>
      <c r="G32" s="86">
        <f>PPK.HPS!F34</f>
        <v>0</v>
      </c>
      <c r="H32" s="824">
        <f>PPK.HPS!G34</f>
        <v>0</v>
      </c>
      <c r="I32" s="87">
        <f>Nego!I27</f>
        <v>0</v>
      </c>
      <c r="J32" s="87">
        <f t="shared" si="0"/>
        <v>0</v>
      </c>
      <c r="K32" s="37"/>
    </row>
    <row r="33" spans="1:12" s="56" customFormat="1" ht="15" hidden="1" customHeight="1">
      <c r="A33" s="85">
        <f t="shared" si="1"/>
        <v>0</v>
      </c>
      <c r="B33" s="1318">
        <f>PPK.HPS!B35</f>
        <v>0</v>
      </c>
      <c r="C33" s="1319"/>
      <c r="D33" s="1319"/>
      <c r="E33" s="1319"/>
      <c r="F33" s="853"/>
      <c r="G33" s="86">
        <f>PPK.HPS!F35</f>
        <v>0</v>
      </c>
      <c r="H33" s="824">
        <f>PPK.HPS!G35</f>
        <v>0</v>
      </c>
      <c r="I33" s="87">
        <f>Nego!I28</f>
        <v>0</v>
      </c>
      <c r="J33" s="87">
        <f t="shared" si="0"/>
        <v>0</v>
      </c>
      <c r="K33" s="37"/>
    </row>
    <row r="34" spans="1:12" s="56" customFormat="1" ht="15" hidden="1" customHeight="1">
      <c r="A34" s="85">
        <f t="shared" si="1"/>
        <v>0</v>
      </c>
      <c r="B34" s="1318">
        <f>PPK.HPS!B36</f>
        <v>0</v>
      </c>
      <c r="C34" s="1319"/>
      <c r="D34" s="1319"/>
      <c r="E34" s="1319"/>
      <c r="F34" s="853"/>
      <c r="G34" s="86">
        <f>PPK.HPS!F36</f>
        <v>0</v>
      </c>
      <c r="H34" s="824">
        <f>PPK.HPS!G36</f>
        <v>0</v>
      </c>
      <c r="I34" s="87">
        <f>Nego!I29</f>
        <v>0</v>
      </c>
      <c r="J34" s="87">
        <f t="shared" si="0"/>
        <v>0</v>
      </c>
      <c r="K34" s="37"/>
    </row>
    <row r="35" spans="1:12" s="56" customFormat="1" ht="15" hidden="1" customHeight="1">
      <c r="A35" s="85">
        <f t="shared" si="1"/>
        <v>0</v>
      </c>
      <c r="B35" s="1318">
        <f>PPK.HPS!B37</f>
        <v>0</v>
      </c>
      <c r="C35" s="1319"/>
      <c r="D35" s="1319"/>
      <c r="E35" s="1319"/>
      <c r="F35" s="853"/>
      <c r="G35" s="86">
        <f>PPK.HPS!F37</f>
        <v>0</v>
      </c>
      <c r="H35" s="824">
        <f>PPK.HPS!G37</f>
        <v>0</v>
      </c>
      <c r="I35" s="87">
        <f>Nego!I30</f>
        <v>0</v>
      </c>
      <c r="J35" s="87">
        <f t="shared" si="0"/>
        <v>0</v>
      </c>
      <c r="K35" s="37"/>
    </row>
    <row r="36" spans="1:12" s="56" customFormat="1" ht="15" hidden="1" customHeight="1">
      <c r="A36" s="85">
        <f t="shared" si="1"/>
        <v>0</v>
      </c>
      <c r="B36" s="1318">
        <f>PPK.HPS!B38</f>
        <v>0</v>
      </c>
      <c r="C36" s="1319"/>
      <c r="D36" s="1319"/>
      <c r="E36" s="1319"/>
      <c r="F36" s="853"/>
      <c r="G36" s="86">
        <f>PPK.HPS!F38</f>
        <v>0</v>
      </c>
      <c r="H36" s="824">
        <f>PPK.HPS!G38</f>
        <v>0</v>
      </c>
      <c r="I36" s="87">
        <f>Nego!I31</f>
        <v>0</v>
      </c>
      <c r="J36" s="87">
        <f t="shared" si="0"/>
        <v>0</v>
      </c>
      <c r="K36" s="37"/>
    </row>
    <row r="37" spans="1:12" s="56" customFormat="1" ht="15" hidden="1" customHeight="1">
      <c r="A37" s="85">
        <f t="shared" si="1"/>
        <v>0</v>
      </c>
      <c r="B37" s="1318">
        <f>PPK.HPS!B39</f>
        <v>0</v>
      </c>
      <c r="C37" s="1319"/>
      <c r="D37" s="1319"/>
      <c r="E37" s="1319"/>
      <c r="F37" s="853"/>
      <c r="G37" s="86">
        <f>PPK.HPS!F39</f>
        <v>0</v>
      </c>
      <c r="H37" s="824">
        <f>PPK.HPS!G39</f>
        <v>0</v>
      </c>
      <c r="I37" s="87">
        <f>Nego!I32</f>
        <v>0</v>
      </c>
      <c r="J37" s="87">
        <f t="shared" si="0"/>
        <v>0</v>
      </c>
      <c r="K37" s="37"/>
    </row>
    <row r="38" spans="1:12" s="56" customFormat="1" ht="15" hidden="1" customHeight="1">
      <c r="A38" s="85">
        <f t="shared" si="1"/>
        <v>0</v>
      </c>
      <c r="B38" s="1318">
        <f>PPK.HPS!B40</f>
        <v>0</v>
      </c>
      <c r="C38" s="1319"/>
      <c r="D38" s="1319"/>
      <c r="E38" s="1319"/>
      <c r="F38" s="853"/>
      <c r="G38" s="86">
        <f>PPK.HPS!F40</f>
        <v>0</v>
      </c>
      <c r="H38" s="824">
        <f>PPK.HPS!G40</f>
        <v>0</v>
      </c>
      <c r="I38" s="87">
        <f>Nego!I33</f>
        <v>0</v>
      </c>
      <c r="J38" s="87">
        <f t="shared" si="0"/>
        <v>0</v>
      </c>
      <c r="K38" s="37"/>
    </row>
    <row r="39" spans="1:12" s="56" customFormat="1" ht="15" hidden="1" customHeight="1">
      <c r="A39" s="85">
        <f t="shared" si="1"/>
        <v>0</v>
      </c>
      <c r="B39" s="1318">
        <f>PPK.HPS!B41</f>
        <v>0</v>
      </c>
      <c r="C39" s="1319"/>
      <c r="D39" s="1319"/>
      <c r="E39" s="1319"/>
      <c r="F39" s="853"/>
      <c r="G39" s="86">
        <f>PPK.HPS!F41</f>
        <v>0</v>
      </c>
      <c r="H39" s="824">
        <f>PPK.HPS!G41</f>
        <v>0</v>
      </c>
      <c r="I39" s="87">
        <f>Nego!I34</f>
        <v>0</v>
      </c>
      <c r="J39" s="87">
        <f t="shared" si="0"/>
        <v>0</v>
      </c>
      <c r="K39" s="37"/>
    </row>
    <row r="40" spans="1:12" s="56" customFormat="1" ht="15" customHeight="1">
      <c r="A40" s="88"/>
      <c r="B40" s="1321"/>
      <c r="C40" s="1322"/>
      <c r="D40" s="1322"/>
      <c r="E40" s="1322"/>
      <c r="F40" s="852"/>
      <c r="G40" s="89"/>
      <c r="H40" s="825"/>
      <c r="I40" s="87"/>
      <c r="J40" s="90"/>
      <c r="K40" s="37"/>
    </row>
    <row r="41" spans="1:12" s="56" customFormat="1" ht="15" customHeight="1">
      <c r="A41" s="91"/>
      <c r="B41" s="903"/>
      <c r="C41" s="904"/>
      <c r="D41" s="904"/>
      <c r="E41" s="904"/>
      <c r="F41" s="850"/>
      <c r="G41" s="92"/>
      <c r="H41" s="93"/>
      <c r="I41" s="827" t="s">
        <v>376</v>
      </c>
      <c r="J41" s="95">
        <f>SUM(J14:J40)</f>
        <v>62939327.669309996</v>
      </c>
      <c r="K41" s="37"/>
    </row>
    <row r="42" spans="1:12" s="56" customFormat="1" ht="15" customHeight="1">
      <c r="A42" s="91"/>
      <c r="B42" s="903"/>
      <c r="C42" s="904"/>
      <c r="D42" s="904"/>
      <c r="E42" s="904"/>
      <c r="F42" s="850"/>
      <c r="G42" s="92"/>
      <c r="H42" s="93"/>
      <c r="I42" s="826">
        <f>Nego!I36</f>
        <v>0.11</v>
      </c>
      <c r="J42" s="96">
        <f>J41*I42</f>
        <v>6923326.0436240993</v>
      </c>
      <c r="K42" s="37"/>
    </row>
    <row r="43" spans="1:12" s="56" customFormat="1" ht="15" customHeight="1">
      <c r="A43" s="91"/>
      <c r="B43" s="903"/>
      <c r="C43" s="904"/>
      <c r="D43" s="904"/>
      <c r="E43" s="904"/>
      <c r="F43" s="850"/>
      <c r="G43" s="92"/>
      <c r="H43" s="93"/>
      <c r="I43" s="827" t="s">
        <v>1346</v>
      </c>
      <c r="J43" s="97">
        <f>ROUNDDOWN(J41+J42,-3)</f>
        <v>69862000</v>
      </c>
      <c r="K43" s="37"/>
      <c r="L43" s="112"/>
    </row>
    <row r="44" spans="1:12" s="56" customFormat="1" ht="27.6" customHeight="1">
      <c r="A44" s="98" t="s">
        <v>377</v>
      </c>
      <c r="B44" s="99"/>
      <c r="C44" s="99"/>
      <c r="D44" s="99" t="s">
        <v>2</v>
      </c>
      <c r="E44" s="1320" t="str">
        <f>Uang!A161</f>
        <v>Enam Puluh Sembilan Juta Delapan Ratus Enam Puluh Dua Ribu Rupiah</v>
      </c>
      <c r="F44" s="1320"/>
      <c r="G44" s="1320"/>
      <c r="H44" s="1320"/>
      <c r="I44" s="1320"/>
      <c r="J44" s="1320"/>
      <c r="K44" s="37"/>
    </row>
    <row r="45" spans="1:12" s="56" customFormat="1" ht="5.25" customHeight="1">
      <c r="A45" s="37"/>
      <c r="B45" s="64"/>
      <c r="C45" s="64"/>
      <c r="D45" s="64"/>
      <c r="E45" s="64"/>
      <c r="F45" s="64"/>
      <c r="G45" s="44"/>
      <c r="H45" s="73"/>
      <c r="I45" s="74"/>
      <c r="J45" s="74"/>
      <c r="K45" s="37"/>
    </row>
    <row r="46" spans="1:12" ht="15" customHeight="1">
      <c r="A46" s="37" t="s">
        <v>378</v>
      </c>
      <c r="B46" s="37"/>
      <c r="C46" s="37"/>
      <c r="D46" s="38"/>
      <c r="E46" s="38"/>
      <c r="F46" s="38"/>
      <c r="G46" s="37"/>
      <c r="H46" s="37"/>
      <c r="I46" s="37"/>
      <c r="J46" s="37"/>
    </row>
    <row r="47" spans="1:12" ht="15" customHeight="1">
      <c r="A47" s="37"/>
      <c r="B47" s="37"/>
      <c r="C47" s="37"/>
      <c r="D47" s="38"/>
      <c r="E47" s="38"/>
      <c r="F47" s="38"/>
      <c r="G47" s="37"/>
      <c r="H47" s="37"/>
      <c r="I47" s="37"/>
      <c r="J47" s="37"/>
    </row>
    <row r="48" spans="1:12" ht="15" customHeight="1">
      <c r="A48" s="44"/>
      <c r="B48" s="44"/>
      <c r="C48" s="44"/>
      <c r="D48" s="44"/>
      <c r="E48" s="44"/>
      <c r="F48" s="44"/>
      <c r="G48" s="1138" t="str">
        <f>lokasi&amp;", "&amp;Input!H109</f>
        <v>Mataram, 10 November 2025</v>
      </c>
      <c r="H48" s="1138"/>
      <c r="I48" s="1138"/>
      <c r="J48" s="1138"/>
      <c r="K48" s="37"/>
      <c r="L48" s="37"/>
    </row>
    <row r="49" spans="1:12" ht="15" customHeight="1">
      <c r="A49" s="1136"/>
      <c r="B49" s="1136"/>
      <c r="C49" s="1136"/>
      <c r="D49" s="1136"/>
      <c r="E49" s="1136"/>
      <c r="F49" s="67"/>
      <c r="G49" s="1309" t="str">
        <f>Input!D23</f>
        <v>Kepala Badan Pengelolaan Keuangan dan Aset Daerah</v>
      </c>
      <c r="H49" s="1309"/>
      <c r="I49" s="1309"/>
      <c r="J49" s="1309"/>
      <c r="K49" s="67"/>
      <c r="L49" s="67"/>
    </row>
    <row r="50" spans="1:12" ht="15" customHeight="1">
      <c r="A50" s="37"/>
      <c r="B50" s="44"/>
      <c r="C50" s="44"/>
      <c r="D50" s="225"/>
      <c r="E50" s="225"/>
      <c r="F50" s="225"/>
      <c r="G50" s="1309" t="str">
        <f>opd_lok</f>
        <v>Provinsi Nusa Tenggara Barat</v>
      </c>
      <c r="H50" s="1309"/>
      <c r="I50" s="1309"/>
      <c r="J50" s="1309"/>
      <c r="K50" s="44"/>
      <c r="L50" s="44"/>
    </row>
    <row r="51" spans="1:12" ht="15" customHeight="1">
      <c r="A51" s="1138" t="str">
        <f>Input!D31</f>
        <v>Pejabat Pembuat Komitmen</v>
      </c>
      <c r="B51" s="1138"/>
      <c r="C51" s="1138"/>
      <c r="D51" s="1138"/>
      <c r="E51" s="1138"/>
      <c r="F51" s="44"/>
      <c r="G51" s="1309" t="s">
        <v>1352</v>
      </c>
      <c r="H51" s="1309"/>
      <c r="I51" s="1309"/>
      <c r="J51" s="1309"/>
      <c r="K51" s="44"/>
      <c r="L51" s="44"/>
    </row>
    <row r="52" spans="1:12" ht="15" customHeight="1">
      <c r="A52" s="37"/>
      <c r="B52" s="44"/>
      <c r="C52" s="44"/>
      <c r="D52" s="225"/>
      <c r="E52" s="225"/>
      <c r="F52" s="225"/>
      <c r="G52" s="44"/>
      <c r="H52" s="44"/>
      <c r="I52" s="44"/>
      <c r="J52" s="44"/>
      <c r="K52" s="44"/>
      <c r="L52" s="44"/>
    </row>
    <row r="53" spans="1:12" ht="15" customHeight="1">
      <c r="A53" s="37"/>
      <c r="B53" s="44"/>
      <c r="C53" s="44"/>
      <c r="D53" s="225"/>
      <c r="E53" s="225"/>
      <c r="F53" s="225"/>
      <c r="G53" s="44"/>
      <c r="H53" s="44"/>
      <c r="I53" s="44"/>
      <c r="J53" s="44"/>
      <c r="K53" s="44"/>
      <c r="L53" s="44"/>
    </row>
    <row r="54" spans="1:12" ht="15" customHeight="1">
      <c r="A54" s="37"/>
      <c r="B54" s="44"/>
      <c r="C54" s="44"/>
      <c r="D54" s="225"/>
      <c r="E54" s="225"/>
      <c r="F54" s="225"/>
      <c r="G54" s="44"/>
      <c r="H54" s="44"/>
      <c r="I54" s="44"/>
      <c r="J54" s="44"/>
      <c r="K54" s="44"/>
      <c r="L54" s="44"/>
    </row>
    <row r="55" spans="1:12" ht="15" customHeight="1">
      <c r="A55" s="37"/>
      <c r="B55" s="44"/>
      <c r="C55" s="44"/>
      <c r="D55" s="225"/>
      <c r="E55" s="225"/>
      <c r="F55" s="225"/>
      <c r="G55" s="44"/>
      <c r="H55" s="44"/>
      <c r="I55" s="44"/>
      <c r="J55" s="44"/>
      <c r="K55" s="44"/>
      <c r="L55" s="44"/>
    </row>
    <row r="56" spans="1:12" ht="15" customHeight="1">
      <c r="A56" s="1241" t="str">
        <f>ppk_nama</f>
        <v>Ika Kurnia Mustika, ST, MT</v>
      </c>
      <c r="B56" s="1241"/>
      <c r="C56" s="1241"/>
      <c r="D56" s="1241"/>
      <c r="E56" s="1241"/>
      <c r="F56" s="65"/>
      <c r="G56" s="1241" t="str">
        <f>Input!$D$24</f>
        <v>Dr. H. Nursalim., S.Sos., M.M</v>
      </c>
      <c r="H56" s="1241"/>
      <c r="I56" s="1241"/>
      <c r="J56" s="1241"/>
      <c r="K56" s="65"/>
      <c r="L56" s="65"/>
    </row>
    <row r="57" spans="1:12" ht="15" customHeight="1">
      <c r="A57" s="1138" t="str">
        <f>"NIP. "&amp;ppk_nip</f>
        <v>NIP. 19791117 200901 1 006</v>
      </c>
      <c r="B57" s="1138"/>
      <c r="C57" s="1138"/>
      <c r="D57" s="1138"/>
      <c r="E57" s="1138"/>
      <c r="F57" s="44"/>
      <c r="G57" s="1138" t="str">
        <f>"NIP. "&amp;Input!$D$25</f>
        <v>NIP. 19721231 199402 1 009</v>
      </c>
      <c r="H57" s="1138"/>
      <c r="I57" s="1138"/>
      <c r="J57" s="1138"/>
      <c r="K57" s="44"/>
      <c r="L57" s="44"/>
    </row>
    <row r="58" spans="1:12" ht="5.25" customHeight="1">
      <c r="A58" s="59"/>
      <c r="B58" s="59"/>
      <c r="C58" s="59"/>
      <c r="D58" s="59"/>
      <c r="E58" s="59"/>
      <c r="F58" s="59"/>
      <c r="G58" s="59"/>
      <c r="H58" s="59"/>
      <c r="I58" s="59"/>
      <c r="J58" s="59"/>
      <c r="K58" s="15"/>
      <c r="L58" s="118"/>
    </row>
    <row r="59" spans="1:12" ht="15" customHeight="1">
      <c r="A59" s="854"/>
      <c r="B59" s="854"/>
      <c r="C59" s="854"/>
      <c r="D59" s="855"/>
      <c r="E59" s="855"/>
      <c r="F59" s="855"/>
      <c r="G59" s="854"/>
      <c r="H59" s="854"/>
      <c r="I59" s="856"/>
      <c r="J59" s="854"/>
      <c r="K59" s="53"/>
    </row>
    <row r="60" spans="1:12" ht="15" customHeight="1">
      <c r="A60" s="854" t="s">
        <v>1362</v>
      </c>
      <c r="B60" s="854"/>
      <c r="C60" s="854"/>
      <c r="D60" s="855"/>
      <c r="E60" s="855"/>
      <c r="F60" s="855"/>
      <c r="G60" s="854"/>
      <c r="H60" s="854"/>
      <c r="I60" s="857"/>
      <c r="J60" s="854"/>
      <c r="K60" s="53"/>
    </row>
    <row r="61" spans="1:12" ht="15" customHeight="1">
      <c r="A61" s="854" t="s">
        <v>1363</v>
      </c>
      <c r="B61" s="854"/>
      <c r="C61" s="854"/>
      <c r="D61" s="855"/>
      <c r="E61" s="855"/>
      <c r="F61" s="855"/>
      <c r="G61" s="854"/>
      <c r="H61" s="854"/>
      <c r="I61" s="856"/>
      <c r="J61" s="854"/>
      <c r="K61" s="53"/>
    </row>
    <row r="62" spans="1:12" ht="15" customHeight="1">
      <c r="A62" s="854"/>
      <c r="B62" s="854"/>
      <c r="C62" s="854"/>
      <c r="D62" s="855"/>
      <c r="E62" s="855"/>
      <c r="F62" s="855"/>
      <c r="G62" s="854"/>
      <c r="H62" s="854"/>
      <c r="I62" s="856"/>
      <c r="J62" s="854"/>
      <c r="K62" s="53"/>
    </row>
    <row r="63" spans="1:12" ht="15" customHeight="1">
      <c r="A63" s="854" t="s">
        <v>1177</v>
      </c>
      <c r="B63" s="854" t="s">
        <v>1365</v>
      </c>
      <c r="C63" s="854"/>
      <c r="D63" s="855"/>
      <c r="E63" s="855"/>
      <c r="F63" s="855"/>
      <c r="G63" s="854"/>
      <c r="H63" s="854"/>
      <c r="I63" s="854"/>
      <c r="J63" s="854"/>
      <c r="K63" s="53"/>
    </row>
    <row r="64" spans="1:12" ht="15" customHeight="1">
      <c r="A64" s="854"/>
      <c r="B64" s="859" t="s">
        <v>419</v>
      </c>
      <c r="C64" s="854" t="s">
        <v>1366</v>
      </c>
      <c r="D64" s="855"/>
      <c r="E64" s="855"/>
      <c r="F64" s="855" t="s">
        <v>2</v>
      </c>
      <c r="G64" s="854"/>
      <c r="H64" s="854"/>
      <c r="I64" s="854"/>
      <c r="J64" s="854"/>
      <c r="K64" s="53"/>
    </row>
    <row r="65" spans="1:11" ht="15" customHeight="1">
      <c r="A65" s="857"/>
      <c r="B65" s="859" t="s">
        <v>422</v>
      </c>
      <c r="C65" s="854" t="s">
        <v>1367</v>
      </c>
      <c r="D65" s="855"/>
      <c r="E65" s="855"/>
      <c r="F65" s="855" t="s">
        <v>2</v>
      </c>
      <c r="G65" s="854"/>
      <c r="H65" s="854"/>
      <c r="I65" s="858"/>
      <c r="J65" s="854"/>
      <c r="K65" s="53"/>
    </row>
    <row r="66" spans="1:11" ht="15" customHeight="1">
      <c r="A66" s="854"/>
      <c r="B66" s="859" t="s">
        <v>425</v>
      </c>
      <c r="C66" s="854" t="s">
        <v>1368</v>
      </c>
      <c r="D66" s="855"/>
      <c r="E66" s="855"/>
      <c r="F66" s="855"/>
      <c r="G66" s="854"/>
      <c r="H66" s="854"/>
      <c r="I66" s="854"/>
      <c r="J66" s="854"/>
      <c r="K66" s="53"/>
    </row>
    <row r="67" spans="1:11" ht="15" customHeight="1">
      <c r="A67" s="854"/>
      <c r="B67" s="854"/>
      <c r="C67" s="854" t="s">
        <v>1369</v>
      </c>
      <c r="D67" s="855"/>
      <c r="E67" s="855"/>
      <c r="F67" s="855" t="s">
        <v>2</v>
      </c>
      <c r="G67" s="854"/>
      <c r="H67" s="854"/>
      <c r="I67" s="854"/>
      <c r="J67" s="854"/>
    </row>
    <row r="68" spans="1:11" ht="15" customHeight="1">
      <c r="A68" s="854"/>
      <c r="B68" s="854"/>
      <c r="C68" s="854" t="s">
        <v>41</v>
      </c>
      <c r="D68" s="855"/>
      <c r="E68" s="855"/>
      <c r="F68" s="855" t="s">
        <v>2</v>
      </c>
      <c r="G68" s="854"/>
      <c r="H68" s="854"/>
      <c r="I68" s="854"/>
      <c r="J68" s="854"/>
    </row>
    <row r="69" spans="1:11" ht="15" customHeight="1">
      <c r="A69" s="854"/>
      <c r="B69" s="854"/>
      <c r="C69" s="854" t="s">
        <v>1370</v>
      </c>
      <c r="D69" s="855"/>
      <c r="E69" s="855"/>
      <c r="F69" s="855" t="s">
        <v>2</v>
      </c>
      <c r="G69" s="854"/>
      <c r="H69" s="854"/>
      <c r="I69" s="854"/>
      <c r="J69" s="854"/>
    </row>
    <row r="70" spans="1:11" ht="15" customHeight="1">
      <c r="A70" s="854"/>
      <c r="B70" s="854"/>
      <c r="C70" s="854" t="s">
        <v>1371</v>
      </c>
      <c r="D70" s="855"/>
      <c r="E70" s="855"/>
      <c r="F70" s="855" t="s">
        <v>2</v>
      </c>
      <c r="G70" s="854"/>
      <c r="H70" s="854"/>
      <c r="I70" s="854"/>
      <c r="J70" s="854"/>
    </row>
    <row r="71" spans="1:11" ht="15.75">
      <c r="A71" s="854"/>
      <c r="B71" s="859" t="s">
        <v>435</v>
      </c>
      <c r="C71" s="854" t="s">
        <v>1372</v>
      </c>
      <c r="D71" s="854"/>
      <c r="E71" s="854"/>
      <c r="F71" s="854"/>
      <c r="G71" s="854"/>
      <c r="H71" s="854"/>
      <c r="I71" s="854"/>
      <c r="J71" s="854"/>
    </row>
    <row r="72" spans="1:11" ht="15.75">
      <c r="A72" s="854"/>
      <c r="B72" s="854"/>
      <c r="C72" s="854" t="s">
        <v>1369</v>
      </c>
      <c r="D72" s="854"/>
      <c r="E72" s="854"/>
      <c r="F72" s="855" t="s">
        <v>2</v>
      </c>
      <c r="G72" s="854" t="str">
        <f>ppk_nama</f>
        <v>Ika Kurnia Mustika, ST, MT</v>
      </c>
      <c r="H72" s="854"/>
      <c r="I72" s="854"/>
      <c r="J72" s="854"/>
    </row>
    <row r="73" spans="1:11" ht="15.75">
      <c r="A73" s="854"/>
      <c r="B73" s="854"/>
      <c r="C73" s="854" t="s">
        <v>41</v>
      </c>
      <c r="D73" s="854"/>
      <c r="E73" s="854"/>
      <c r="F73" s="855" t="s">
        <v>2</v>
      </c>
      <c r="G73" s="854" t="str">
        <f>ppk_nip</f>
        <v>19791117 200901 1 006</v>
      </c>
      <c r="H73" s="854"/>
      <c r="I73" s="854"/>
      <c r="J73" s="854"/>
    </row>
    <row r="74" spans="1:11" ht="15.75">
      <c r="A74" s="854"/>
      <c r="B74" s="854"/>
      <c r="C74" s="854" t="s">
        <v>1370</v>
      </c>
      <c r="D74" s="854"/>
      <c r="E74" s="854"/>
      <c r="F74" s="855" t="s">
        <v>2</v>
      </c>
      <c r="G74" s="854" t="str">
        <f>ppk_gol2&amp;" ("&amp;ppk_gol&amp;")"</f>
        <v>Pembina Utama Muda (IV/c)</v>
      </c>
      <c r="H74" s="854"/>
      <c r="I74" s="854"/>
      <c r="J74" s="854"/>
    </row>
    <row r="75" spans="1:11" ht="15.75">
      <c r="A75" s="854"/>
      <c r="B75" s="854"/>
      <c r="C75" s="854" t="s">
        <v>1371</v>
      </c>
      <c r="D75" s="854"/>
      <c r="E75" s="854"/>
      <c r="F75" s="855" t="s">
        <v>2</v>
      </c>
      <c r="G75" s="854" t="str">
        <f>ppk_jab</f>
        <v>Pejabat Pembuat Komitmen</v>
      </c>
      <c r="H75" s="854"/>
      <c r="I75" s="854"/>
      <c r="J75" s="854"/>
    </row>
    <row r="76" spans="1:11" ht="15.75">
      <c r="A76" s="854"/>
      <c r="B76" s="854"/>
      <c r="C76" s="854"/>
      <c r="D76" s="854"/>
      <c r="E76" s="854"/>
      <c r="F76" s="854"/>
      <c r="G76" s="854"/>
      <c r="H76" s="854"/>
      <c r="I76" s="854"/>
      <c r="J76" s="854"/>
    </row>
    <row r="77" spans="1:11" ht="15.75">
      <c r="A77" s="854" t="s">
        <v>1178</v>
      </c>
      <c r="B77" s="854" t="s">
        <v>1373</v>
      </c>
      <c r="C77" s="854"/>
      <c r="D77" s="854"/>
      <c r="E77" s="854"/>
      <c r="F77" s="854"/>
      <c r="G77" s="854"/>
      <c r="H77" s="854"/>
      <c r="I77" s="854"/>
      <c r="J77" s="854"/>
    </row>
    <row r="78" spans="1:11" ht="15.75">
      <c r="A78" s="854"/>
      <c r="B78" s="859" t="s">
        <v>419</v>
      </c>
      <c r="C78" s="854" t="s">
        <v>1374</v>
      </c>
      <c r="D78" s="854"/>
      <c r="E78" s="854"/>
      <c r="F78" s="855" t="s">
        <v>2</v>
      </c>
      <c r="G78" s="1314" t="str">
        <f>paket</f>
        <v>Belanja Pemeliharaan Bangunan Gedung-Bangunan Gedung Tempat Kerja-Bangunan Gedung Kantor-Pemeliharaan Gedung Bertingkat</v>
      </c>
      <c r="H78" s="1314"/>
      <c r="I78" s="1314"/>
      <c r="J78" s="1314"/>
    </row>
    <row r="79" spans="1:11" ht="15.75">
      <c r="A79" s="854"/>
      <c r="B79" s="859"/>
      <c r="C79" s="854"/>
      <c r="D79" s="854"/>
      <c r="E79" s="854"/>
      <c r="F79" s="855"/>
      <c r="G79" s="1314"/>
      <c r="H79" s="1314"/>
      <c r="I79" s="1314"/>
      <c r="J79" s="1314"/>
    </row>
    <row r="80" spans="1:11" ht="15.75">
      <c r="A80" s="854"/>
      <c r="B80" s="859"/>
      <c r="C80" s="854"/>
      <c r="D80" s="854"/>
      <c r="E80" s="854"/>
      <c r="F80" s="855"/>
      <c r="G80" s="1314"/>
      <c r="H80" s="1314"/>
      <c r="I80" s="1314"/>
      <c r="J80" s="1314"/>
    </row>
    <row r="81" spans="1:10" ht="15.75">
      <c r="A81" s="854"/>
      <c r="B81" s="859" t="s">
        <v>422</v>
      </c>
      <c r="C81" s="854" t="s">
        <v>1375</v>
      </c>
      <c r="D81" s="854"/>
      <c r="E81" s="854"/>
      <c r="F81" s="855" t="s">
        <v>2</v>
      </c>
      <c r="G81" s="854"/>
      <c r="H81" s="854"/>
      <c r="I81" s="854"/>
      <c r="J81" s="854"/>
    </row>
    <row r="82" spans="1:10" ht="15.75">
      <c r="A82" s="854"/>
      <c r="B82" s="859" t="s">
        <v>425</v>
      </c>
      <c r="C82" s="854" t="s">
        <v>1376</v>
      </c>
      <c r="D82" s="854"/>
      <c r="E82" s="854"/>
      <c r="F82" s="855" t="s">
        <v>2</v>
      </c>
      <c r="G82" s="854"/>
      <c r="H82" s="854"/>
      <c r="I82" s="854"/>
      <c r="J82" s="854"/>
    </row>
    <row r="83" spans="1:10" ht="15.75">
      <c r="A83" s="854"/>
      <c r="B83" s="854"/>
      <c r="C83" s="854"/>
      <c r="D83" s="854"/>
      <c r="E83" s="854"/>
      <c r="F83" s="854"/>
      <c r="G83" s="854"/>
      <c r="H83" s="854"/>
      <c r="I83" s="854"/>
      <c r="J83" s="854"/>
    </row>
    <row r="84" spans="1:10" ht="15.75">
      <c r="A84" s="854" t="s">
        <v>1377</v>
      </c>
      <c r="B84" s="854" t="s">
        <v>1378</v>
      </c>
      <c r="C84" s="854"/>
      <c r="D84" s="854"/>
      <c r="E84" s="854"/>
      <c r="F84" s="854"/>
      <c r="G84" s="854"/>
      <c r="H84" s="854"/>
      <c r="I84" s="854"/>
      <c r="J84" s="854"/>
    </row>
    <row r="85" spans="1:10" ht="15.75">
      <c r="A85" s="854"/>
      <c r="B85" s="859" t="s">
        <v>419</v>
      </c>
      <c r="C85" s="854" t="s">
        <v>409</v>
      </c>
      <c r="D85" s="854"/>
      <c r="E85" s="854"/>
      <c r="F85" s="855" t="s">
        <v>2</v>
      </c>
      <c r="G85" s="854" t="str">
        <f>bu_nama</f>
        <v>PT. DARUSSALAM MEDIA GROUP</v>
      </c>
      <c r="H85" s="854"/>
      <c r="I85" s="854"/>
      <c r="J85" s="854"/>
    </row>
    <row r="86" spans="1:10" ht="15.75">
      <c r="A86" s="854"/>
      <c r="B86" s="859" t="s">
        <v>422</v>
      </c>
      <c r="C86" s="854" t="s">
        <v>1379</v>
      </c>
      <c r="D86" s="854"/>
      <c r="E86" s="854"/>
      <c r="F86" s="855" t="s">
        <v>2</v>
      </c>
      <c r="G86" s="1314" t="str">
        <f>bu_almt</f>
        <v>JL Meninting 13 No.. 22C BTN Kekalik, Kel. Pagesangan Barat, Kota Mataram, Provinsi Nusa Tenggara Barat</v>
      </c>
      <c r="H86" s="1314"/>
      <c r="I86" s="1314"/>
      <c r="J86" s="1314"/>
    </row>
    <row r="87" spans="1:10" ht="15.75">
      <c r="A87" s="854"/>
      <c r="B87" s="859"/>
      <c r="C87" s="854"/>
      <c r="D87" s="854"/>
      <c r="E87" s="854"/>
      <c r="F87" s="855"/>
      <c r="G87" s="1314"/>
      <c r="H87" s="1314"/>
      <c r="I87" s="1314"/>
      <c r="J87" s="1314"/>
    </row>
    <row r="88" spans="1:10" ht="15.75">
      <c r="A88" s="854"/>
      <c r="B88" s="859" t="s">
        <v>425</v>
      </c>
      <c r="C88" s="854" t="s">
        <v>1380</v>
      </c>
      <c r="D88" s="854"/>
      <c r="E88" s="854"/>
      <c r="F88" s="855" t="s">
        <v>2</v>
      </c>
      <c r="G88" s="1314" t="str">
        <f>bu_rek&amp;" atas nama "&amp;Input!D166&amp;" pada "&amp;Input!D165</f>
        <v>001-02-0039638-3 atas nama PT. DARUSSALAM MEDIA GROUP pada Bank NTB Syariah</v>
      </c>
      <c r="H88" s="1314"/>
      <c r="I88" s="1314"/>
      <c r="J88" s="1314"/>
    </row>
    <row r="89" spans="1:10" ht="15.75">
      <c r="A89" s="854"/>
      <c r="B89" s="854"/>
      <c r="C89" s="854"/>
      <c r="D89" s="854"/>
      <c r="E89" s="854"/>
      <c r="F89" s="854"/>
      <c r="G89" s="1314"/>
      <c r="H89" s="1314"/>
      <c r="I89" s="1314"/>
      <c r="J89" s="1314"/>
    </row>
    <row r="90" spans="1:10" ht="15.75">
      <c r="A90" s="854"/>
      <c r="B90" s="859" t="s">
        <v>435</v>
      </c>
      <c r="C90" s="854" t="s">
        <v>188</v>
      </c>
      <c r="D90" s="854"/>
      <c r="E90" s="854"/>
      <c r="F90" s="855" t="s">
        <v>2</v>
      </c>
      <c r="G90" s="854" t="str">
        <f>bu_npwp</f>
        <v>03.990.125.5.8-911.000</v>
      </c>
      <c r="H90" s="854"/>
      <c r="I90" s="854"/>
      <c r="J90" s="854"/>
    </row>
    <row r="91" spans="1:10" ht="15.75">
      <c r="A91" s="854"/>
      <c r="B91" s="854"/>
      <c r="C91" s="854"/>
      <c r="D91" s="854"/>
      <c r="E91" s="854"/>
      <c r="F91" s="854"/>
      <c r="G91" s="854"/>
      <c r="H91" s="854"/>
      <c r="I91" s="854"/>
      <c r="J91" s="854"/>
    </row>
    <row r="92" spans="1:10" ht="15.75">
      <c r="A92" s="854" t="s">
        <v>1381</v>
      </c>
      <c r="B92" s="854" t="s">
        <v>1382</v>
      </c>
      <c r="C92" s="854"/>
      <c r="D92" s="854"/>
      <c r="E92" s="854"/>
      <c r="F92" s="854"/>
      <c r="G92" s="854"/>
      <c r="H92" s="854"/>
      <c r="I92" s="854"/>
      <c r="J92" s="854"/>
    </row>
    <row r="93" spans="1:10" ht="15.75">
      <c r="A93" s="854"/>
      <c r="B93" s="859" t="s">
        <v>419</v>
      </c>
      <c r="C93" s="854" t="s">
        <v>1383</v>
      </c>
      <c r="D93" s="854"/>
      <c r="E93" s="854"/>
      <c r="F93" s="855" t="s">
        <v>2</v>
      </c>
      <c r="G93" s="854" t="str">
        <f>spk_no</f>
        <v>027.1/1/SPK/BPKAD/2025</v>
      </c>
      <c r="H93" s="854"/>
      <c r="I93" s="854"/>
      <c r="J93" s="854"/>
    </row>
    <row r="94" spans="1:10" ht="15.75">
      <c r="A94" s="854"/>
      <c r="B94" s="859" t="s">
        <v>422</v>
      </c>
      <c r="C94" s="854" t="s">
        <v>407</v>
      </c>
      <c r="D94" s="854"/>
      <c r="E94" s="854"/>
      <c r="F94" s="855" t="s">
        <v>2</v>
      </c>
      <c r="G94" s="1315" t="str">
        <f>spk_tgl</f>
        <v>3 Agustus 2023</v>
      </c>
      <c r="H94" s="1315"/>
      <c r="I94" s="1315"/>
      <c r="J94" s="854"/>
    </row>
    <row r="95" spans="1:10" ht="15.75">
      <c r="A95" s="854"/>
      <c r="B95" s="859" t="s">
        <v>425</v>
      </c>
      <c r="C95" s="854" t="s">
        <v>1408</v>
      </c>
      <c r="D95" s="854"/>
      <c r="E95" s="854"/>
      <c r="F95" s="855" t="s">
        <v>2</v>
      </c>
      <c r="G95" s="1310">
        <f>bu_hn</f>
        <v>69862000</v>
      </c>
      <c r="H95" s="1310"/>
      <c r="I95" s="1310"/>
      <c r="J95" s="854"/>
    </row>
    <row r="96" spans="1:10" ht="15.75">
      <c r="A96" s="854"/>
      <c r="B96" s="859" t="s">
        <v>435</v>
      </c>
      <c r="C96" s="854" t="s">
        <v>1384</v>
      </c>
      <c r="D96" s="854"/>
      <c r="E96" s="854"/>
      <c r="F96" s="855" t="s">
        <v>2</v>
      </c>
      <c r="G96" s="1311">
        <f>masa</f>
        <v>30</v>
      </c>
      <c r="H96" s="1311"/>
      <c r="I96" s="1311"/>
      <c r="J96" s="854"/>
    </row>
    <row r="97" spans="1:10" ht="15.75">
      <c r="A97" s="854"/>
      <c r="B97" s="859" t="s">
        <v>441</v>
      </c>
      <c r="C97" s="854" t="s">
        <v>1405</v>
      </c>
      <c r="D97" s="854"/>
      <c r="E97" s="854"/>
      <c r="F97" s="855" t="s">
        <v>2</v>
      </c>
      <c r="G97" s="1312">
        <f>Input!F108</f>
        <v>45971</v>
      </c>
      <c r="H97" s="1312"/>
      <c r="I97" s="1312"/>
      <c r="J97" s="854"/>
    </row>
    <row r="98" spans="1:10" ht="15.75">
      <c r="A98" s="854"/>
      <c r="B98" s="859" t="s">
        <v>444</v>
      </c>
      <c r="C98" s="854" t="s">
        <v>1386</v>
      </c>
      <c r="D98" s="854"/>
      <c r="E98" s="854"/>
      <c r="F98" s="855" t="s">
        <v>2</v>
      </c>
      <c r="G98" s="1312">
        <f>G97+G99</f>
        <v>46061</v>
      </c>
      <c r="H98" s="1312"/>
      <c r="I98" s="1312"/>
      <c r="J98" s="854"/>
    </row>
    <row r="99" spans="1:10" ht="15.75">
      <c r="A99" s="854"/>
      <c r="B99" s="859" t="s">
        <v>447</v>
      </c>
      <c r="C99" s="854" t="s">
        <v>1387</v>
      </c>
      <c r="D99" s="854"/>
      <c r="E99" s="854"/>
      <c r="F99" s="855" t="s">
        <v>2</v>
      </c>
      <c r="G99" s="1311">
        <f>Input!D132</f>
        <v>90</v>
      </c>
      <c r="H99" s="1311"/>
      <c r="I99" s="1311"/>
      <c r="J99" s="854"/>
    </row>
    <row r="100" spans="1:10" ht="15.75">
      <c r="A100" s="854"/>
      <c r="B100" s="859" t="s">
        <v>450</v>
      </c>
      <c r="C100" s="854" t="s">
        <v>1388</v>
      </c>
      <c r="D100" s="854"/>
      <c r="E100" s="854"/>
      <c r="F100" s="855" t="s">
        <v>2</v>
      </c>
      <c r="G100" s="854"/>
      <c r="H100" s="854"/>
      <c r="I100" s="854"/>
      <c r="J100" s="854"/>
    </row>
    <row r="101" spans="1:10" ht="15.75">
      <c r="A101" s="854"/>
      <c r="B101" s="854"/>
      <c r="C101" s="854"/>
      <c r="D101" s="854"/>
      <c r="E101" s="854"/>
      <c r="F101" s="854"/>
      <c r="G101" s="854"/>
      <c r="H101" s="854"/>
      <c r="I101" s="854"/>
      <c r="J101" s="854"/>
    </row>
    <row r="102" spans="1:10" ht="15.75">
      <c r="A102" s="854"/>
      <c r="B102" s="854" t="s">
        <v>1389</v>
      </c>
      <c r="C102" s="854"/>
      <c r="D102" s="854"/>
      <c r="E102" s="854"/>
      <c r="F102" s="854"/>
      <c r="G102" s="854"/>
      <c r="H102" s="854"/>
      <c r="I102" s="854"/>
      <c r="J102" s="854"/>
    </row>
    <row r="103" spans="1:10" ht="15.75">
      <c r="A103" s="854"/>
      <c r="B103" s="859" t="s">
        <v>419</v>
      </c>
      <c r="C103" s="854" t="s">
        <v>1383</v>
      </c>
      <c r="D103" s="854"/>
      <c r="E103" s="854"/>
      <c r="F103" s="855" t="s">
        <v>2</v>
      </c>
      <c r="G103" s="859" t="s">
        <v>280</v>
      </c>
      <c r="H103" s="854"/>
      <c r="I103" s="854"/>
      <c r="J103" s="854"/>
    </row>
    <row r="104" spans="1:10" ht="15.75">
      <c r="A104" s="854"/>
      <c r="B104" s="859" t="s">
        <v>422</v>
      </c>
      <c r="C104" s="854" t="s">
        <v>407</v>
      </c>
      <c r="D104" s="854"/>
      <c r="E104" s="854"/>
      <c r="F104" s="855" t="s">
        <v>2</v>
      </c>
      <c r="G104" s="1313" t="s">
        <v>280</v>
      </c>
      <c r="H104" s="1313"/>
      <c r="I104" s="1313"/>
      <c r="J104" s="854"/>
    </row>
    <row r="105" spans="1:10" ht="15.75">
      <c r="A105" s="854"/>
      <c r="B105" s="859" t="s">
        <v>425</v>
      </c>
      <c r="C105" s="854" t="s">
        <v>1408</v>
      </c>
      <c r="D105" s="854"/>
      <c r="E105" s="854"/>
      <c r="F105" s="855" t="s">
        <v>2</v>
      </c>
      <c r="G105" s="1310" t="s">
        <v>280</v>
      </c>
      <c r="H105" s="1310"/>
      <c r="I105" s="1310"/>
      <c r="J105" s="854"/>
    </row>
    <row r="106" spans="1:10" ht="15.75">
      <c r="A106" s="854"/>
      <c r="B106" s="859" t="s">
        <v>435</v>
      </c>
      <c r="C106" s="854" t="s">
        <v>1384</v>
      </c>
      <c r="D106" s="854"/>
      <c r="E106" s="854"/>
      <c r="F106" s="855" t="s">
        <v>2</v>
      </c>
      <c r="G106" s="1311" t="s">
        <v>280</v>
      </c>
      <c r="H106" s="1311"/>
      <c r="I106" s="1311"/>
      <c r="J106" s="854"/>
    </row>
    <row r="107" spans="1:10" ht="15.75">
      <c r="A107" s="854"/>
      <c r="B107" s="859" t="s">
        <v>441</v>
      </c>
      <c r="C107" s="854" t="s">
        <v>1385</v>
      </c>
      <c r="D107" s="854"/>
      <c r="E107" s="854"/>
      <c r="F107" s="855" t="s">
        <v>2</v>
      </c>
      <c r="G107" s="1312" t="s">
        <v>280</v>
      </c>
      <c r="H107" s="1312"/>
      <c r="I107" s="1312"/>
      <c r="J107" s="854"/>
    </row>
    <row r="108" spans="1:10" ht="15.75">
      <c r="A108" s="854"/>
      <c r="B108" s="859" t="s">
        <v>444</v>
      </c>
      <c r="C108" s="854" t="s">
        <v>1386</v>
      </c>
      <c r="D108" s="854"/>
      <c r="E108" s="854"/>
      <c r="F108" s="855" t="s">
        <v>2</v>
      </c>
      <c r="G108" s="1312" t="s">
        <v>280</v>
      </c>
      <c r="H108" s="1312"/>
      <c r="I108" s="1312"/>
      <c r="J108" s="854"/>
    </row>
    <row r="109" spans="1:10" ht="15.75">
      <c r="A109" s="854"/>
      <c r="B109" s="859" t="s">
        <v>1407</v>
      </c>
      <c r="C109" s="854" t="s">
        <v>1387</v>
      </c>
      <c r="D109" s="854"/>
      <c r="E109" s="854"/>
      <c r="F109" s="855" t="s">
        <v>2</v>
      </c>
      <c r="G109" s="1311" t="s">
        <v>280</v>
      </c>
      <c r="H109" s="1311"/>
      <c r="I109" s="1311"/>
      <c r="J109" s="854"/>
    </row>
    <row r="110" spans="1:10" ht="15.75">
      <c r="A110" s="854"/>
      <c r="B110" s="854"/>
      <c r="C110" s="854"/>
      <c r="D110" s="854"/>
      <c r="E110" s="854"/>
      <c r="F110" s="854"/>
      <c r="G110" s="854"/>
      <c r="H110" s="854"/>
      <c r="I110" s="854"/>
      <c r="J110" s="854"/>
    </row>
    <row r="111" spans="1:10" ht="15.75">
      <c r="A111" s="854" t="s">
        <v>1390</v>
      </c>
      <c r="B111" s="854" t="s">
        <v>1391</v>
      </c>
      <c r="C111" s="854"/>
      <c r="D111" s="854"/>
      <c r="E111" s="854"/>
      <c r="F111" s="854"/>
      <c r="G111" s="854"/>
      <c r="H111" s="854"/>
      <c r="I111" s="854"/>
      <c r="J111" s="854"/>
    </row>
    <row r="112" spans="1:10" ht="15.75">
      <c r="A112" s="854"/>
      <c r="B112" s="859" t="s">
        <v>419</v>
      </c>
      <c r="C112" s="854" t="s">
        <v>1392</v>
      </c>
      <c r="D112" s="854"/>
      <c r="E112" s="854"/>
      <c r="F112" s="855" t="s">
        <v>2</v>
      </c>
      <c r="G112" s="854"/>
      <c r="H112" s="854"/>
      <c r="I112" s="854"/>
      <c r="J112" s="854"/>
    </row>
    <row r="113" spans="1:12" ht="15.75">
      <c r="A113" s="854"/>
      <c r="B113" s="859" t="s">
        <v>422</v>
      </c>
      <c r="C113" s="854" t="s">
        <v>1393</v>
      </c>
      <c r="D113" s="854"/>
      <c r="E113" s="854"/>
      <c r="F113" s="855" t="s">
        <v>2</v>
      </c>
      <c r="G113" s="854"/>
      <c r="H113" s="854"/>
      <c r="I113" s="854"/>
      <c r="J113" s="854"/>
    </row>
    <row r="114" spans="1:12" ht="15.75">
      <c r="A114" s="854"/>
      <c r="B114" s="859" t="s">
        <v>425</v>
      </c>
      <c r="C114" s="854" t="s">
        <v>1394</v>
      </c>
      <c r="D114" s="854"/>
      <c r="E114" s="854"/>
      <c r="F114" s="855" t="s">
        <v>2</v>
      </c>
      <c r="G114" s="854"/>
      <c r="H114" s="854"/>
      <c r="I114" s="854"/>
      <c r="J114" s="854"/>
    </row>
    <row r="115" spans="1:12" ht="15.75">
      <c r="A115" s="854"/>
      <c r="B115" s="854"/>
      <c r="C115" s="854"/>
      <c r="D115" s="854"/>
      <c r="E115" s="854"/>
      <c r="F115" s="854"/>
      <c r="G115" s="854"/>
      <c r="H115" s="854"/>
      <c r="I115" s="854"/>
      <c r="J115" s="854"/>
    </row>
    <row r="116" spans="1:12" ht="15.75">
      <c r="A116" s="854" t="s">
        <v>1395</v>
      </c>
      <c r="B116" s="854" t="s">
        <v>565</v>
      </c>
      <c r="C116" s="854"/>
      <c r="D116" s="854"/>
      <c r="E116" s="854"/>
      <c r="F116" s="854"/>
      <c r="G116" s="854"/>
      <c r="H116" s="854"/>
      <c r="I116" s="854"/>
      <c r="J116" s="854"/>
    </row>
    <row r="117" spans="1:12" ht="15.75">
      <c r="A117" s="854"/>
      <c r="B117" s="859" t="s">
        <v>419</v>
      </c>
      <c r="C117" s="854" t="s">
        <v>1396</v>
      </c>
      <c r="D117" s="854"/>
      <c r="E117" s="854"/>
      <c r="F117" s="855" t="s">
        <v>2</v>
      </c>
      <c r="G117" s="854"/>
      <c r="H117" s="854"/>
      <c r="I117" s="854"/>
      <c r="J117" s="854"/>
    </row>
    <row r="118" spans="1:12" ht="15.75">
      <c r="A118" s="854"/>
      <c r="B118" s="859" t="s">
        <v>422</v>
      </c>
      <c r="C118" s="854" t="s">
        <v>1397</v>
      </c>
      <c r="D118" s="854"/>
      <c r="E118" s="854"/>
      <c r="F118" s="855" t="s">
        <v>2</v>
      </c>
      <c r="G118" s="854"/>
      <c r="H118" s="854"/>
      <c r="I118" s="854"/>
      <c r="J118" s="854"/>
    </row>
    <row r="119" spans="1:12" ht="15.75">
      <c r="A119" s="854"/>
      <c r="B119" s="859" t="s">
        <v>425</v>
      </c>
      <c r="C119" s="854" t="s">
        <v>1398</v>
      </c>
      <c r="D119" s="854"/>
      <c r="E119" s="854"/>
      <c r="F119" s="855" t="s">
        <v>2</v>
      </c>
      <c r="G119" s="854"/>
      <c r="H119" s="854"/>
      <c r="I119" s="854"/>
      <c r="J119" s="854"/>
    </row>
    <row r="120" spans="1:12" ht="15.75">
      <c r="A120" s="854"/>
      <c r="B120" s="854"/>
      <c r="C120" s="854"/>
      <c r="D120" s="854"/>
      <c r="E120" s="854"/>
      <c r="F120" s="854"/>
      <c r="G120" s="854"/>
      <c r="H120" s="854"/>
      <c r="I120" s="854"/>
      <c r="J120" s="854"/>
    </row>
    <row r="121" spans="1:12" ht="15.75">
      <c r="A121" s="854" t="s">
        <v>1364</v>
      </c>
      <c r="B121" s="854" t="s">
        <v>1399</v>
      </c>
      <c r="C121" s="854"/>
      <c r="D121" s="854"/>
      <c r="E121" s="854"/>
      <c r="F121" s="854"/>
      <c r="G121" s="854"/>
      <c r="H121" s="854"/>
      <c r="I121" s="854"/>
      <c r="J121" s="854"/>
    </row>
    <row r="122" spans="1:12" ht="15.75">
      <c r="A122" s="854"/>
      <c r="B122" s="859" t="s">
        <v>419</v>
      </c>
      <c r="C122" s="854" t="s">
        <v>412</v>
      </c>
      <c r="D122" s="854"/>
      <c r="E122" s="854"/>
      <c r="F122" s="855" t="s">
        <v>2</v>
      </c>
      <c r="G122" s="1310">
        <f>G95</f>
        <v>69862000</v>
      </c>
      <c r="H122" s="1310"/>
      <c r="I122" s="1310"/>
      <c r="J122" s="854"/>
    </row>
    <row r="123" spans="1:12" ht="15.75">
      <c r="A123" s="854"/>
      <c r="B123" s="859" t="s">
        <v>422</v>
      </c>
      <c r="C123" s="854" t="s">
        <v>1400</v>
      </c>
      <c r="D123" s="854"/>
      <c r="E123" s="854"/>
      <c r="F123" s="855" t="s">
        <v>2</v>
      </c>
      <c r="G123" s="1310">
        <v>0</v>
      </c>
      <c r="H123" s="1310"/>
      <c r="I123" s="1310"/>
      <c r="J123" s="854"/>
    </row>
    <row r="124" spans="1:12" ht="15.75">
      <c r="A124" s="854"/>
      <c r="B124" s="859" t="s">
        <v>425</v>
      </c>
      <c r="C124" s="854" t="s">
        <v>1401</v>
      </c>
      <c r="D124" s="854"/>
      <c r="E124" s="854"/>
      <c r="F124" s="855" t="s">
        <v>2</v>
      </c>
      <c r="G124" s="1310">
        <f>G122</f>
        <v>69862000</v>
      </c>
      <c r="H124" s="1310"/>
      <c r="I124" s="1310"/>
      <c r="J124" s="854"/>
    </row>
    <row r="125" spans="1:12" ht="15.75">
      <c r="A125" s="854"/>
      <c r="B125" s="859" t="s">
        <v>435</v>
      </c>
      <c r="C125" s="854" t="s">
        <v>1402</v>
      </c>
      <c r="D125" s="854"/>
      <c r="E125" s="854"/>
      <c r="F125" s="855" t="s">
        <v>2</v>
      </c>
      <c r="G125" s="1310">
        <f>G124-G123</f>
        <v>69862000</v>
      </c>
      <c r="H125" s="1310"/>
      <c r="I125" s="1310"/>
      <c r="J125" s="854"/>
    </row>
    <row r="126" spans="1:12" ht="15.75">
      <c r="A126" s="854"/>
      <c r="B126" s="854"/>
      <c r="C126" s="854"/>
      <c r="D126" s="854"/>
      <c r="E126" s="854"/>
      <c r="F126" s="854"/>
      <c r="G126" s="854"/>
      <c r="H126" s="854"/>
      <c r="I126" s="854"/>
      <c r="J126" s="854"/>
    </row>
    <row r="127" spans="1:12" ht="15" customHeight="1">
      <c r="A127" s="44"/>
      <c r="B127" s="44"/>
      <c r="C127" s="44"/>
      <c r="D127" s="44"/>
      <c r="E127" s="44"/>
      <c r="F127" s="44"/>
      <c r="G127" s="1138" t="str">
        <f>G48</f>
        <v>Mataram, 10 November 2025</v>
      </c>
      <c r="H127" s="1138"/>
      <c r="I127" s="1138"/>
      <c r="J127" s="1138"/>
      <c r="K127" s="37"/>
      <c r="L127" s="37"/>
    </row>
    <row r="128" spans="1:12" ht="15" customHeight="1">
      <c r="A128" s="1136"/>
      <c r="B128" s="1136"/>
      <c r="C128" s="1136"/>
      <c r="D128" s="1136"/>
      <c r="E128" s="1136"/>
      <c r="F128" s="67"/>
      <c r="G128" s="1309" t="str">
        <f>G49</f>
        <v>Kepala Badan Pengelolaan Keuangan dan Aset Daerah</v>
      </c>
      <c r="H128" s="1309"/>
      <c r="I128" s="1309"/>
      <c r="J128" s="1309"/>
      <c r="K128" s="67"/>
      <c r="L128" s="67"/>
    </row>
    <row r="129" spans="1:12" ht="15" customHeight="1">
      <c r="A129" s="37"/>
      <c r="B129" s="44"/>
      <c r="C129" s="44"/>
      <c r="D129" s="225"/>
      <c r="E129" s="225"/>
      <c r="F129" s="225"/>
      <c r="G129" s="1309" t="str">
        <f>opd_lok</f>
        <v>Provinsi Nusa Tenggara Barat</v>
      </c>
      <c r="H129" s="1309"/>
      <c r="I129" s="1309"/>
      <c r="J129" s="1309"/>
      <c r="K129" s="44"/>
      <c r="L129" s="44"/>
    </row>
    <row r="130" spans="1:12" ht="15" customHeight="1">
      <c r="A130" s="1138" t="str">
        <f>A51</f>
        <v>Pejabat Pembuat Komitmen</v>
      </c>
      <c r="B130" s="1138"/>
      <c r="C130" s="1138"/>
      <c r="D130" s="1138"/>
      <c r="E130" s="1138"/>
      <c r="F130" s="44"/>
      <c r="G130" s="1309" t="s">
        <v>1352</v>
      </c>
      <c r="H130" s="1309"/>
      <c r="I130" s="1309"/>
      <c r="J130" s="1309"/>
      <c r="K130" s="44"/>
      <c r="L130" s="44"/>
    </row>
    <row r="131" spans="1:12" ht="15" customHeight="1">
      <c r="A131" s="37"/>
      <c r="B131" s="44"/>
      <c r="C131" s="44"/>
      <c r="D131" s="225"/>
      <c r="E131" s="225"/>
      <c r="F131" s="225"/>
      <c r="G131" s="44"/>
      <c r="H131" s="44"/>
      <c r="I131" s="44"/>
      <c r="J131" s="44"/>
      <c r="K131" s="44"/>
      <c r="L131" s="44"/>
    </row>
    <row r="132" spans="1:12" ht="15" customHeight="1">
      <c r="A132" s="37"/>
      <c r="B132" s="44"/>
      <c r="C132" s="44"/>
      <c r="D132" s="225"/>
      <c r="E132" s="225"/>
      <c r="F132" s="225"/>
      <c r="G132" s="44"/>
      <c r="H132" s="44"/>
      <c r="I132" s="44"/>
      <c r="J132" s="44"/>
      <c r="K132" s="44"/>
      <c r="L132" s="44"/>
    </row>
    <row r="133" spans="1:12" ht="15" customHeight="1">
      <c r="A133" s="37"/>
      <c r="B133" s="44"/>
      <c r="C133" s="44"/>
      <c r="D133" s="225"/>
      <c r="E133" s="225"/>
      <c r="F133" s="225"/>
      <c r="G133" s="44"/>
      <c r="H133" s="44"/>
      <c r="I133" s="44"/>
      <c r="J133" s="44"/>
      <c r="K133" s="44"/>
      <c r="L133" s="44"/>
    </row>
    <row r="134" spans="1:12" ht="15" customHeight="1">
      <c r="A134" s="37"/>
      <c r="B134" s="44"/>
      <c r="C134" s="44"/>
      <c r="D134" s="225"/>
      <c r="E134" s="225"/>
      <c r="F134" s="225"/>
      <c r="G134" s="44"/>
      <c r="H134" s="44"/>
      <c r="I134" s="44"/>
      <c r="J134" s="44"/>
      <c r="K134" s="44"/>
      <c r="L134" s="44"/>
    </row>
    <row r="135" spans="1:12" ht="15" customHeight="1">
      <c r="A135" s="1241" t="str">
        <f>ppk_nama</f>
        <v>Ika Kurnia Mustika, ST, MT</v>
      </c>
      <c r="B135" s="1241"/>
      <c r="C135" s="1241"/>
      <c r="D135" s="1241"/>
      <c r="E135" s="1241"/>
      <c r="F135" s="65"/>
      <c r="G135" s="1241" t="str">
        <f>Input!$D$24</f>
        <v>Dr. H. Nursalim., S.Sos., M.M</v>
      </c>
      <c r="H135" s="1241"/>
      <c r="I135" s="1241"/>
      <c r="J135" s="1241"/>
      <c r="K135" s="65"/>
      <c r="L135" s="65"/>
    </row>
    <row r="136" spans="1:12" ht="15" customHeight="1">
      <c r="A136" s="1138" t="str">
        <f>"NIP. "&amp;ppk_nip</f>
        <v>NIP. 19791117 200901 1 006</v>
      </c>
      <c r="B136" s="1138"/>
      <c r="C136" s="1138"/>
      <c r="D136" s="1138"/>
      <c r="E136" s="1138"/>
      <c r="F136" s="44"/>
      <c r="G136" s="1138" t="str">
        <f>"NIP. "&amp;Input!$D$25</f>
        <v>NIP. 19721231 199402 1 009</v>
      </c>
      <c r="H136" s="1138"/>
      <c r="I136" s="1138"/>
      <c r="J136" s="1138"/>
      <c r="K136" s="44"/>
      <c r="L136" s="44"/>
    </row>
    <row r="137" spans="1:12" ht="15.75">
      <c r="A137" s="854"/>
      <c r="B137" s="854"/>
      <c r="C137" s="854"/>
      <c r="D137" s="854"/>
      <c r="E137" s="854"/>
      <c r="F137" s="854"/>
      <c r="G137" s="854"/>
      <c r="H137" s="854"/>
      <c r="I137" s="854"/>
      <c r="J137" s="854"/>
    </row>
    <row r="138" spans="1:12" ht="15.75">
      <c r="A138" s="854"/>
      <c r="B138" s="854"/>
      <c r="C138" s="854"/>
      <c r="D138" s="854"/>
      <c r="E138" s="854"/>
      <c r="F138" s="854"/>
      <c r="G138" s="854"/>
      <c r="H138" s="854"/>
      <c r="I138" s="854"/>
      <c r="J138" s="854"/>
    </row>
    <row r="139" spans="1:12" ht="15.75">
      <c r="A139" s="854"/>
      <c r="B139" s="854"/>
      <c r="C139" s="854"/>
      <c r="D139" s="854"/>
      <c r="E139" s="854"/>
      <c r="F139" s="854"/>
      <c r="G139" s="854"/>
      <c r="H139" s="854"/>
      <c r="I139" s="854"/>
      <c r="J139" s="854"/>
    </row>
    <row r="140" spans="1:12" ht="15.75">
      <c r="A140" s="854"/>
      <c r="B140" s="854"/>
      <c r="C140" s="854"/>
      <c r="D140" s="854"/>
      <c r="E140" s="854"/>
      <c r="F140" s="854"/>
      <c r="G140" s="854"/>
      <c r="H140" s="854"/>
      <c r="I140" s="854"/>
      <c r="J140" s="854"/>
    </row>
    <row r="141" spans="1:12" ht="15.75">
      <c r="A141" s="854"/>
      <c r="B141" s="854"/>
      <c r="C141" s="854"/>
      <c r="D141" s="854"/>
      <c r="E141" s="854"/>
      <c r="F141" s="854"/>
      <c r="G141" s="854"/>
      <c r="H141" s="854"/>
      <c r="I141" s="854"/>
      <c r="J141" s="854"/>
    </row>
    <row r="142" spans="1:12" ht="15.75">
      <c r="A142" s="854"/>
      <c r="B142" s="854"/>
      <c r="C142" s="854"/>
      <c r="D142" s="854"/>
      <c r="E142" s="854"/>
      <c r="F142" s="854"/>
      <c r="G142" s="854"/>
      <c r="H142" s="854"/>
      <c r="I142" s="854"/>
      <c r="J142" s="854"/>
    </row>
    <row r="143" spans="1:12" ht="15.75">
      <c r="A143" s="854"/>
      <c r="B143" s="854"/>
      <c r="C143" s="854"/>
      <c r="D143" s="854"/>
      <c r="E143" s="854"/>
      <c r="F143" s="854"/>
      <c r="G143" s="854"/>
      <c r="H143" s="854"/>
      <c r="I143" s="854"/>
      <c r="J143" s="854"/>
    </row>
    <row r="144" spans="1:12" ht="15.75">
      <c r="A144" s="854"/>
      <c r="B144" s="854"/>
      <c r="C144" s="854"/>
      <c r="D144" s="854"/>
      <c r="E144" s="854"/>
      <c r="F144" s="854"/>
      <c r="G144" s="854"/>
      <c r="H144" s="854"/>
      <c r="I144" s="854"/>
      <c r="J144" s="854"/>
    </row>
    <row r="145" spans="1:10">
      <c r="A145" s="37"/>
      <c r="B145" s="37"/>
      <c r="C145" s="37"/>
      <c r="D145" s="37"/>
      <c r="E145" s="37"/>
      <c r="F145" s="37"/>
      <c r="G145" s="37"/>
      <c r="H145" s="37"/>
      <c r="I145" s="37"/>
      <c r="J145" s="37"/>
    </row>
    <row r="146" spans="1:10">
      <c r="A146" s="37"/>
      <c r="B146" s="37"/>
      <c r="C146" s="37"/>
      <c r="D146" s="37"/>
      <c r="E146" s="37"/>
      <c r="F146" s="37"/>
      <c r="G146" s="37"/>
      <c r="H146" s="37"/>
      <c r="I146" s="37"/>
      <c r="J146" s="37"/>
    </row>
    <row r="147" spans="1:10">
      <c r="A147" s="37"/>
      <c r="B147" s="37"/>
      <c r="C147" s="37"/>
      <c r="D147" s="37"/>
      <c r="E147" s="37"/>
      <c r="F147" s="37"/>
      <c r="G147" s="37"/>
      <c r="H147" s="37"/>
      <c r="I147" s="37"/>
      <c r="J147" s="37"/>
    </row>
    <row r="148" spans="1:10">
      <c r="A148" s="37"/>
      <c r="B148" s="37"/>
      <c r="C148" s="37"/>
      <c r="D148" s="37"/>
      <c r="E148" s="37"/>
      <c r="F148" s="37"/>
      <c r="G148" s="37"/>
      <c r="H148" s="37"/>
      <c r="I148" s="37"/>
      <c r="J148" s="37"/>
    </row>
    <row r="149" spans="1:10">
      <c r="A149" s="37"/>
      <c r="B149" s="37"/>
      <c r="C149" s="37"/>
      <c r="D149" s="37"/>
      <c r="E149" s="37"/>
      <c r="F149" s="37"/>
      <c r="G149" s="37"/>
      <c r="H149" s="37"/>
      <c r="I149" s="37"/>
      <c r="J149" s="37"/>
    </row>
    <row r="150" spans="1:10">
      <c r="A150" s="37"/>
      <c r="B150" s="37"/>
      <c r="C150" s="37"/>
      <c r="D150" s="37"/>
      <c r="E150" s="37"/>
      <c r="F150" s="37"/>
      <c r="G150" s="37"/>
      <c r="H150" s="37"/>
      <c r="I150" s="37"/>
      <c r="J150" s="37"/>
    </row>
    <row r="151" spans="1:10">
      <c r="A151" s="37"/>
      <c r="B151" s="37"/>
      <c r="C151" s="37"/>
      <c r="D151" s="37"/>
      <c r="E151" s="37"/>
      <c r="F151" s="37"/>
      <c r="G151" s="37"/>
      <c r="H151" s="37"/>
      <c r="I151" s="37"/>
      <c r="J151" s="37"/>
    </row>
    <row r="152" spans="1:10">
      <c r="A152" s="37"/>
      <c r="B152" s="37"/>
      <c r="C152" s="37"/>
      <c r="D152" s="37"/>
      <c r="E152" s="37"/>
      <c r="F152" s="37"/>
      <c r="G152" s="37"/>
      <c r="H152" s="37"/>
      <c r="I152" s="37"/>
      <c r="J152" s="37"/>
    </row>
    <row r="153" spans="1:10">
      <c r="A153" s="37"/>
      <c r="B153" s="37"/>
      <c r="C153" s="37"/>
      <c r="D153" s="37"/>
      <c r="E153" s="37"/>
      <c r="F153" s="37"/>
      <c r="G153" s="37"/>
      <c r="H153" s="37"/>
      <c r="I153" s="37"/>
      <c r="J153" s="37"/>
    </row>
    <row r="154" spans="1:10">
      <c r="A154" s="37"/>
      <c r="B154" s="37"/>
      <c r="C154" s="37"/>
      <c r="D154" s="37"/>
      <c r="E154" s="37"/>
      <c r="F154" s="37"/>
      <c r="G154" s="37"/>
      <c r="H154" s="37"/>
      <c r="I154" s="37"/>
      <c r="J154" s="37"/>
    </row>
    <row r="155" spans="1:10">
      <c r="A155" s="37"/>
      <c r="B155" s="37"/>
      <c r="C155" s="37"/>
      <c r="D155" s="37"/>
      <c r="E155" s="37"/>
      <c r="F155" s="37"/>
      <c r="G155" s="37"/>
      <c r="H155" s="37"/>
      <c r="I155" s="37"/>
      <c r="J155" s="37"/>
    </row>
    <row r="156" spans="1:10">
      <c r="A156" s="37"/>
      <c r="B156" s="37"/>
      <c r="C156" s="37"/>
      <c r="D156" s="37"/>
      <c r="E156" s="37"/>
      <c r="F156" s="37"/>
      <c r="G156" s="37"/>
      <c r="H156" s="37"/>
      <c r="I156" s="37"/>
      <c r="J156" s="37"/>
    </row>
    <row r="157" spans="1:10">
      <c r="A157" s="37"/>
      <c r="B157" s="37"/>
      <c r="C157" s="37"/>
      <c r="D157" s="37"/>
      <c r="E157" s="37"/>
      <c r="F157" s="37"/>
      <c r="G157" s="37"/>
      <c r="H157" s="37"/>
      <c r="I157" s="37"/>
      <c r="J157" s="37"/>
    </row>
  </sheetData>
  <mergeCells count="73">
    <mergeCell ref="G50:J50"/>
    <mergeCell ref="G51:J51"/>
    <mergeCell ref="A51:E51"/>
    <mergeCell ref="A57:E57"/>
    <mergeCell ref="G57:J57"/>
    <mergeCell ref="E7:J8"/>
    <mergeCell ref="B12:E12"/>
    <mergeCell ref="A49:E49"/>
    <mergeCell ref="A56:E56"/>
    <mergeCell ref="G49:J49"/>
    <mergeCell ref="G56:J56"/>
    <mergeCell ref="B43:E43"/>
    <mergeCell ref="E44:J44"/>
    <mergeCell ref="B38:E38"/>
    <mergeCell ref="B39:E39"/>
    <mergeCell ref="B40:E40"/>
    <mergeCell ref="B41:E41"/>
    <mergeCell ref="B42:E42"/>
    <mergeCell ref="B33:E33"/>
    <mergeCell ref="B34:E34"/>
    <mergeCell ref="B35:E35"/>
    <mergeCell ref="B36:E36"/>
    <mergeCell ref="B37:E37"/>
    <mergeCell ref="B28:E28"/>
    <mergeCell ref="B29:E29"/>
    <mergeCell ref="B30:E30"/>
    <mergeCell ref="B31:E31"/>
    <mergeCell ref="B32:E32"/>
    <mergeCell ref="B23:E23"/>
    <mergeCell ref="B24:E24"/>
    <mergeCell ref="B25:E25"/>
    <mergeCell ref="B26:E26"/>
    <mergeCell ref="B27:E27"/>
    <mergeCell ref="B18:E18"/>
    <mergeCell ref="B19:E19"/>
    <mergeCell ref="B20:E20"/>
    <mergeCell ref="B21:E21"/>
    <mergeCell ref="B22:E22"/>
    <mergeCell ref="B13:E13"/>
    <mergeCell ref="B14:E14"/>
    <mergeCell ref="B15:E15"/>
    <mergeCell ref="B16:E16"/>
    <mergeCell ref="B17:E17"/>
    <mergeCell ref="G86:J87"/>
    <mergeCell ref="G88:J89"/>
    <mergeCell ref="G96:I96"/>
    <mergeCell ref="G97:I97"/>
    <mergeCell ref="G94:I94"/>
    <mergeCell ref="G123:I123"/>
    <mergeCell ref="G124:I124"/>
    <mergeCell ref="G125:I125"/>
    <mergeCell ref="G48:J48"/>
    <mergeCell ref="G127:J127"/>
    <mergeCell ref="G99:I99"/>
    <mergeCell ref="G98:I98"/>
    <mergeCell ref="G122:I122"/>
    <mergeCell ref="G95:I95"/>
    <mergeCell ref="G105:I105"/>
    <mergeCell ref="G106:I106"/>
    <mergeCell ref="G107:I107"/>
    <mergeCell ref="G108:I108"/>
    <mergeCell ref="G109:I109"/>
    <mergeCell ref="G104:I104"/>
    <mergeCell ref="G78:J80"/>
    <mergeCell ref="A135:E135"/>
    <mergeCell ref="G135:J135"/>
    <mergeCell ref="A136:E136"/>
    <mergeCell ref="G136:J136"/>
    <mergeCell ref="A128:E128"/>
    <mergeCell ref="G128:J128"/>
    <mergeCell ref="G129:J129"/>
    <mergeCell ref="A130:E130"/>
    <mergeCell ref="G130:J130"/>
  </mergeCells>
  <hyperlinks>
    <hyperlink ref="L12" location="Input!A72" display="balik ke input" xr:uid="{00000000-0004-0000-1500-000000000000}"/>
  </hyperlinks>
  <printOptions horizontalCentered="1"/>
  <pageMargins left="0.78740157480314998" right="0.55118110236220497" top="0.39370078740157499" bottom="0.78740157480314998" header="0.196850393700787" footer="0.196850393700787"/>
  <pageSetup paperSize="9" scale="95" orientation="portrait" horizontalDpi="200" verticalDpi="300" r:id="rId1"/>
  <rowBreaks count="1" manualBreakCount="1">
    <brk id="58" max="1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tabColor theme="6" tint="-0.249977111117893"/>
  </sheetPr>
  <dimension ref="A1:P92"/>
  <sheetViews>
    <sheetView view="pageBreakPreview" topLeftCell="A68" zoomScale="130" zoomScaleNormal="100" zoomScaleSheetLayoutView="130" workbookViewId="0">
      <selection activeCell="F90" sqref="F90:G90"/>
    </sheetView>
  </sheetViews>
  <sheetFormatPr defaultColWidth="9" defaultRowHeight="14.25"/>
  <cols>
    <col min="1" max="1" width="4.53125" style="18" customWidth="1"/>
    <col min="2" max="2" width="7" style="18" customWidth="1"/>
    <col min="3" max="3" width="8.33203125" style="18" customWidth="1"/>
    <col min="4" max="4" width="2" style="18" customWidth="1"/>
    <col min="5" max="5" width="6.33203125" style="18" customWidth="1"/>
    <col min="6" max="6" width="16.46484375" style="18" customWidth="1"/>
    <col min="7" max="7" width="13.19921875" style="18" customWidth="1"/>
    <col min="8" max="8" width="11.19921875" style="18" customWidth="1"/>
    <col min="9" max="9" width="1.53125" style="18" customWidth="1"/>
    <col min="10" max="10" width="9.53125" style="18" customWidth="1"/>
    <col min="11" max="11" width="5.33203125" style="18" customWidth="1"/>
    <col min="12" max="12" width="15" style="18" customWidth="1"/>
    <col min="13" max="258" width="9" style="18"/>
    <col min="259" max="259" width="9.86328125" style="18" customWidth="1"/>
    <col min="260" max="260" width="2" style="18" customWidth="1"/>
    <col min="261" max="261" width="12.53125" style="18" customWidth="1"/>
    <col min="262" max="262" width="1.86328125" style="18" customWidth="1"/>
    <col min="263" max="263" width="2" style="18" customWidth="1"/>
    <col min="264" max="264" width="16" style="18" customWidth="1"/>
    <col min="265" max="265" width="26" style="18" customWidth="1"/>
    <col min="266" max="266" width="9" style="18"/>
    <col min="267" max="267" width="9" style="18" customWidth="1"/>
    <col min="268" max="514" width="9" style="18"/>
    <col min="515" max="515" width="9.86328125" style="18" customWidth="1"/>
    <col min="516" max="516" width="2" style="18" customWidth="1"/>
    <col min="517" max="517" width="12.53125" style="18" customWidth="1"/>
    <col min="518" max="518" width="1.86328125" style="18" customWidth="1"/>
    <col min="519" max="519" width="2" style="18" customWidth="1"/>
    <col min="520" max="520" width="16" style="18" customWidth="1"/>
    <col min="521" max="521" width="26" style="18" customWidth="1"/>
    <col min="522" max="522" width="9" style="18"/>
    <col min="523" max="523" width="9" style="18" customWidth="1"/>
    <col min="524" max="770" width="9" style="18"/>
    <col min="771" max="771" width="9.86328125" style="18" customWidth="1"/>
    <col min="772" max="772" width="2" style="18" customWidth="1"/>
    <col min="773" max="773" width="12.53125" style="18" customWidth="1"/>
    <col min="774" max="774" width="1.86328125" style="18" customWidth="1"/>
    <col min="775" max="775" width="2" style="18" customWidth="1"/>
    <col min="776" max="776" width="16" style="18" customWidth="1"/>
    <col min="777" max="777" width="26" style="18" customWidth="1"/>
    <col min="778" max="778" width="9" style="18"/>
    <col min="779" max="779" width="9" style="18" customWidth="1"/>
    <col min="780" max="1026" width="9" style="18"/>
    <col min="1027" max="1027" width="9.86328125" style="18" customWidth="1"/>
    <col min="1028" max="1028" width="2" style="18" customWidth="1"/>
    <col min="1029" max="1029" width="12.53125" style="18" customWidth="1"/>
    <col min="1030" max="1030" width="1.86328125" style="18" customWidth="1"/>
    <col min="1031" max="1031" width="2" style="18" customWidth="1"/>
    <col min="1032" max="1032" width="16" style="18" customWidth="1"/>
    <col min="1033" max="1033" width="26" style="18" customWidth="1"/>
    <col min="1034" max="1034" width="9" style="18"/>
    <col min="1035" max="1035" width="9" style="18" customWidth="1"/>
    <col min="1036" max="1282" width="9" style="18"/>
    <col min="1283" max="1283" width="9.86328125" style="18" customWidth="1"/>
    <col min="1284" max="1284" width="2" style="18" customWidth="1"/>
    <col min="1285" max="1285" width="12.53125" style="18" customWidth="1"/>
    <col min="1286" max="1286" width="1.86328125" style="18" customWidth="1"/>
    <col min="1287" max="1287" width="2" style="18" customWidth="1"/>
    <col min="1288" max="1288" width="16" style="18" customWidth="1"/>
    <col min="1289" max="1289" width="26" style="18" customWidth="1"/>
    <col min="1290" max="1290" width="9" style="18"/>
    <col min="1291" max="1291" width="9" style="18" customWidth="1"/>
    <col min="1292" max="1538" width="9" style="18"/>
    <col min="1539" max="1539" width="9.86328125" style="18" customWidth="1"/>
    <col min="1540" max="1540" width="2" style="18" customWidth="1"/>
    <col min="1541" max="1541" width="12.53125" style="18" customWidth="1"/>
    <col min="1542" max="1542" width="1.86328125" style="18" customWidth="1"/>
    <col min="1543" max="1543" width="2" style="18" customWidth="1"/>
    <col min="1544" max="1544" width="16" style="18" customWidth="1"/>
    <col min="1545" max="1545" width="26" style="18" customWidth="1"/>
    <col min="1546" max="1546" width="9" style="18"/>
    <col min="1547" max="1547" width="9" style="18" customWidth="1"/>
    <col min="1548" max="1794" width="9" style="18"/>
    <col min="1795" max="1795" width="9.86328125" style="18" customWidth="1"/>
    <col min="1796" max="1796" width="2" style="18" customWidth="1"/>
    <col min="1797" max="1797" width="12.53125" style="18" customWidth="1"/>
    <col min="1798" max="1798" width="1.86328125" style="18" customWidth="1"/>
    <col min="1799" max="1799" width="2" style="18" customWidth="1"/>
    <col min="1800" max="1800" width="16" style="18" customWidth="1"/>
    <col min="1801" max="1801" width="26" style="18" customWidth="1"/>
    <col min="1802" max="1802" width="9" style="18"/>
    <col min="1803" max="1803" width="9" style="18" customWidth="1"/>
    <col min="1804" max="2050" width="9" style="18"/>
    <col min="2051" max="2051" width="9.86328125" style="18" customWidth="1"/>
    <col min="2052" max="2052" width="2" style="18" customWidth="1"/>
    <col min="2053" max="2053" width="12.53125" style="18" customWidth="1"/>
    <col min="2054" max="2054" width="1.86328125" style="18" customWidth="1"/>
    <col min="2055" max="2055" width="2" style="18" customWidth="1"/>
    <col min="2056" max="2056" width="16" style="18" customWidth="1"/>
    <col min="2057" max="2057" width="26" style="18" customWidth="1"/>
    <col min="2058" max="2058" width="9" style="18"/>
    <col min="2059" max="2059" width="9" style="18" customWidth="1"/>
    <col min="2060" max="2306" width="9" style="18"/>
    <col min="2307" max="2307" width="9.86328125" style="18" customWidth="1"/>
    <col min="2308" max="2308" width="2" style="18" customWidth="1"/>
    <col min="2309" max="2309" width="12.53125" style="18" customWidth="1"/>
    <col min="2310" max="2310" width="1.86328125" style="18" customWidth="1"/>
    <col min="2311" max="2311" width="2" style="18" customWidth="1"/>
    <col min="2312" max="2312" width="16" style="18" customWidth="1"/>
    <col min="2313" max="2313" width="26" style="18" customWidth="1"/>
    <col min="2314" max="2314" width="9" style="18"/>
    <col min="2315" max="2315" width="9" style="18" customWidth="1"/>
    <col min="2316" max="2562" width="9" style="18"/>
    <col min="2563" max="2563" width="9.86328125" style="18" customWidth="1"/>
    <col min="2564" max="2564" width="2" style="18" customWidth="1"/>
    <col min="2565" max="2565" width="12.53125" style="18" customWidth="1"/>
    <col min="2566" max="2566" width="1.86328125" style="18" customWidth="1"/>
    <col min="2567" max="2567" width="2" style="18" customWidth="1"/>
    <col min="2568" max="2568" width="16" style="18" customWidth="1"/>
    <col min="2569" max="2569" width="26" style="18" customWidth="1"/>
    <col min="2570" max="2570" width="9" style="18"/>
    <col min="2571" max="2571" width="9" style="18" customWidth="1"/>
    <col min="2572" max="2818" width="9" style="18"/>
    <col min="2819" max="2819" width="9.86328125" style="18" customWidth="1"/>
    <col min="2820" max="2820" width="2" style="18" customWidth="1"/>
    <col min="2821" max="2821" width="12.53125" style="18" customWidth="1"/>
    <col min="2822" max="2822" width="1.86328125" style="18" customWidth="1"/>
    <col min="2823" max="2823" width="2" style="18" customWidth="1"/>
    <col min="2824" max="2824" width="16" style="18" customWidth="1"/>
    <col min="2825" max="2825" width="26" style="18" customWidth="1"/>
    <col min="2826" max="2826" width="9" style="18"/>
    <col min="2827" max="2827" width="9" style="18" customWidth="1"/>
    <col min="2828" max="3074" width="9" style="18"/>
    <col min="3075" max="3075" width="9.86328125" style="18" customWidth="1"/>
    <col min="3076" max="3076" width="2" style="18" customWidth="1"/>
    <col min="3077" max="3077" width="12.53125" style="18" customWidth="1"/>
    <col min="3078" max="3078" width="1.86328125" style="18" customWidth="1"/>
    <col min="3079" max="3079" width="2" style="18" customWidth="1"/>
    <col min="3080" max="3080" width="16" style="18" customWidth="1"/>
    <col min="3081" max="3081" width="26" style="18" customWidth="1"/>
    <col min="3082" max="3082" width="9" style="18"/>
    <col min="3083" max="3083" width="9" style="18" customWidth="1"/>
    <col min="3084" max="3330" width="9" style="18"/>
    <col min="3331" max="3331" width="9.86328125" style="18" customWidth="1"/>
    <col min="3332" max="3332" width="2" style="18" customWidth="1"/>
    <col min="3333" max="3333" width="12.53125" style="18" customWidth="1"/>
    <col min="3334" max="3334" width="1.86328125" style="18" customWidth="1"/>
    <col min="3335" max="3335" width="2" style="18" customWidth="1"/>
    <col min="3336" max="3336" width="16" style="18" customWidth="1"/>
    <col min="3337" max="3337" width="26" style="18" customWidth="1"/>
    <col min="3338" max="3338" width="9" style="18"/>
    <col min="3339" max="3339" width="9" style="18" customWidth="1"/>
    <col min="3340" max="3586" width="9" style="18"/>
    <col min="3587" max="3587" width="9.86328125" style="18" customWidth="1"/>
    <col min="3588" max="3588" width="2" style="18" customWidth="1"/>
    <col min="3589" max="3589" width="12.53125" style="18" customWidth="1"/>
    <col min="3590" max="3590" width="1.86328125" style="18" customWidth="1"/>
    <col min="3591" max="3591" width="2" style="18" customWidth="1"/>
    <col min="3592" max="3592" width="16" style="18" customWidth="1"/>
    <col min="3593" max="3593" width="26" style="18" customWidth="1"/>
    <col min="3594" max="3594" width="9" style="18"/>
    <col min="3595" max="3595" width="9" style="18" customWidth="1"/>
    <col min="3596" max="3842" width="9" style="18"/>
    <col min="3843" max="3843" width="9.86328125" style="18" customWidth="1"/>
    <col min="3844" max="3844" width="2" style="18" customWidth="1"/>
    <col min="3845" max="3845" width="12.53125" style="18" customWidth="1"/>
    <col min="3846" max="3846" width="1.86328125" style="18" customWidth="1"/>
    <col min="3847" max="3847" width="2" style="18" customWidth="1"/>
    <col min="3848" max="3848" width="16" style="18" customWidth="1"/>
    <col min="3849" max="3849" width="26" style="18" customWidth="1"/>
    <col min="3850" max="3850" width="9" style="18"/>
    <col min="3851" max="3851" width="9" style="18" customWidth="1"/>
    <col min="3852" max="4098" width="9" style="18"/>
    <col min="4099" max="4099" width="9.86328125" style="18" customWidth="1"/>
    <col min="4100" max="4100" width="2" style="18" customWidth="1"/>
    <col min="4101" max="4101" width="12.53125" style="18" customWidth="1"/>
    <col min="4102" max="4102" width="1.86328125" style="18" customWidth="1"/>
    <col min="4103" max="4103" width="2" style="18" customWidth="1"/>
    <col min="4104" max="4104" width="16" style="18" customWidth="1"/>
    <col min="4105" max="4105" width="26" style="18" customWidth="1"/>
    <col min="4106" max="4106" width="9" style="18"/>
    <col min="4107" max="4107" width="9" style="18" customWidth="1"/>
    <col min="4108" max="4354" width="9" style="18"/>
    <col min="4355" max="4355" width="9.86328125" style="18" customWidth="1"/>
    <col min="4356" max="4356" width="2" style="18" customWidth="1"/>
    <col min="4357" max="4357" width="12.53125" style="18" customWidth="1"/>
    <col min="4358" max="4358" width="1.86328125" style="18" customWidth="1"/>
    <col min="4359" max="4359" width="2" style="18" customWidth="1"/>
    <col min="4360" max="4360" width="16" style="18" customWidth="1"/>
    <col min="4361" max="4361" width="26" style="18" customWidth="1"/>
    <col min="4362" max="4362" width="9" style="18"/>
    <col min="4363" max="4363" width="9" style="18" customWidth="1"/>
    <col min="4364" max="4610" width="9" style="18"/>
    <col min="4611" max="4611" width="9.86328125" style="18" customWidth="1"/>
    <col min="4612" max="4612" width="2" style="18" customWidth="1"/>
    <col min="4613" max="4613" width="12.53125" style="18" customWidth="1"/>
    <col min="4614" max="4614" width="1.86328125" style="18" customWidth="1"/>
    <col min="4615" max="4615" width="2" style="18" customWidth="1"/>
    <col min="4616" max="4616" width="16" style="18" customWidth="1"/>
    <col min="4617" max="4617" width="26" style="18" customWidth="1"/>
    <col min="4618" max="4618" width="9" style="18"/>
    <col min="4619" max="4619" width="9" style="18" customWidth="1"/>
    <col min="4620" max="4866" width="9" style="18"/>
    <col min="4867" max="4867" width="9.86328125" style="18" customWidth="1"/>
    <col min="4868" max="4868" width="2" style="18" customWidth="1"/>
    <col min="4869" max="4869" width="12.53125" style="18" customWidth="1"/>
    <col min="4870" max="4870" width="1.86328125" style="18" customWidth="1"/>
    <col min="4871" max="4871" width="2" style="18" customWidth="1"/>
    <col min="4872" max="4872" width="16" style="18" customWidth="1"/>
    <col min="4873" max="4873" width="26" style="18" customWidth="1"/>
    <col min="4874" max="4874" width="9" style="18"/>
    <col min="4875" max="4875" width="9" style="18" customWidth="1"/>
    <col min="4876" max="5122" width="9" style="18"/>
    <col min="5123" max="5123" width="9.86328125" style="18" customWidth="1"/>
    <col min="5124" max="5124" width="2" style="18" customWidth="1"/>
    <col min="5125" max="5125" width="12.53125" style="18" customWidth="1"/>
    <col min="5126" max="5126" width="1.86328125" style="18" customWidth="1"/>
    <col min="5127" max="5127" width="2" style="18" customWidth="1"/>
    <col min="5128" max="5128" width="16" style="18" customWidth="1"/>
    <col min="5129" max="5129" width="26" style="18" customWidth="1"/>
    <col min="5130" max="5130" width="9" style="18"/>
    <col min="5131" max="5131" width="9" style="18" customWidth="1"/>
    <col min="5132" max="5378" width="9" style="18"/>
    <col min="5379" max="5379" width="9.86328125" style="18" customWidth="1"/>
    <col min="5380" max="5380" width="2" style="18" customWidth="1"/>
    <col min="5381" max="5381" width="12.53125" style="18" customWidth="1"/>
    <col min="5382" max="5382" width="1.86328125" style="18" customWidth="1"/>
    <col min="5383" max="5383" width="2" style="18" customWidth="1"/>
    <col min="5384" max="5384" width="16" style="18" customWidth="1"/>
    <col min="5385" max="5385" width="26" style="18" customWidth="1"/>
    <col min="5386" max="5386" width="9" style="18"/>
    <col min="5387" max="5387" width="9" style="18" customWidth="1"/>
    <col min="5388" max="5634" width="9" style="18"/>
    <col min="5635" max="5635" width="9.86328125" style="18" customWidth="1"/>
    <col min="5636" max="5636" width="2" style="18" customWidth="1"/>
    <col min="5637" max="5637" width="12.53125" style="18" customWidth="1"/>
    <col min="5638" max="5638" width="1.86328125" style="18" customWidth="1"/>
    <col min="5639" max="5639" width="2" style="18" customWidth="1"/>
    <col min="5640" max="5640" width="16" style="18" customWidth="1"/>
    <col min="5641" max="5641" width="26" style="18" customWidth="1"/>
    <col min="5642" max="5642" width="9" style="18"/>
    <col min="5643" max="5643" width="9" style="18" customWidth="1"/>
    <col min="5644" max="5890" width="9" style="18"/>
    <col min="5891" max="5891" width="9.86328125" style="18" customWidth="1"/>
    <col min="5892" max="5892" width="2" style="18" customWidth="1"/>
    <col min="5893" max="5893" width="12.53125" style="18" customWidth="1"/>
    <col min="5894" max="5894" width="1.86328125" style="18" customWidth="1"/>
    <col min="5895" max="5895" width="2" style="18" customWidth="1"/>
    <col min="5896" max="5896" width="16" style="18" customWidth="1"/>
    <col min="5897" max="5897" width="26" style="18" customWidth="1"/>
    <col min="5898" max="5898" width="9" style="18"/>
    <col min="5899" max="5899" width="9" style="18" customWidth="1"/>
    <col min="5900" max="6146" width="9" style="18"/>
    <col min="6147" max="6147" width="9.86328125" style="18" customWidth="1"/>
    <col min="6148" max="6148" width="2" style="18" customWidth="1"/>
    <col min="6149" max="6149" width="12.53125" style="18" customWidth="1"/>
    <col min="6150" max="6150" width="1.86328125" style="18" customWidth="1"/>
    <col min="6151" max="6151" width="2" style="18" customWidth="1"/>
    <col min="6152" max="6152" width="16" style="18" customWidth="1"/>
    <col min="6153" max="6153" width="26" style="18" customWidth="1"/>
    <col min="6154" max="6154" width="9" style="18"/>
    <col min="6155" max="6155" width="9" style="18" customWidth="1"/>
    <col min="6156" max="6402" width="9" style="18"/>
    <col min="6403" max="6403" width="9.86328125" style="18" customWidth="1"/>
    <col min="6404" max="6404" width="2" style="18" customWidth="1"/>
    <col min="6405" max="6405" width="12.53125" style="18" customWidth="1"/>
    <col min="6406" max="6406" width="1.86328125" style="18" customWidth="1"/>
    <col min="6407" max="6407" width="2" style="18" customWidth="1"/>
    <col min="6408" max="6408" width="16" style="18" customWidth="1"/>
    <col min="6409" max="6409" width="26" style="18" customWidth="1"/>
    <col min="6410" max="6410" width="9" style="18"/>
    <col min="6411" max="6411" width="9" style="18" customWidth="1"/>
    <col min="6412" max="6658" width="9" style="18"/>
    <col min="6659" max="6659" width="9.86328125" style="18" customWidth="1"/>
    <col min="6660" max="6660" width="2" style="18" customWidth="1"/>
    <col min="6661" max="6661" width="12.53125" style="18" customWidth="1"/>
    <col min="6662" max="6662" width="1.86328125" style="18" customWidth="1"/>
    <col min="6663" max="6663" width="2" style="18" customWidth="1"/>
    <col min="6664" max="6664" width="16" style="18" customWidth="1"/>
    <col min="6665" max="6665" width="26" style="18" customWidth="1"/>
    <col min="6666" max="6666" width="9" style="18"/>
    <col min="6667" max="6667" width="9" style="18" customWidth="1"/>
    <col min="6668" max="6914" width="9" style="18"/>
    <col min="6915" max="6915" width="9.86328125" style="18" customWidth="1"/>
    <col min="6916" max="6916" width="2" style="18" customWidth="1"/>
    <col min="6917" max="6917" width="12.53125" style="18" customWidth="1"/>
    <col min="6918" max="6918" width="1.86328125" style="18" customWidth="1"/>
    <col min="6919" max="6919" width="2" style="18" customWidth="1"/>
    <col min="6920" max="6920" width="16" style="18" customWidth="1"/>
    <col min="6921" max="6921" width="26" style="18" customWidth="1"/>
    <col min="6922" max="6922" width="9" style="18"/>
    <col min="6923" max="6923" width="9" style="18" customWidth="1"/>
    <col min="6924" max="7170" width="9" style="18"/>
    <col min="7171" max="7171" width="9.86328125" style="18" customWidth="1"/>
    <col min="7172" max="7172" width="2" style="18" customWidth="1"/>
    <col min="7173" max="7173" width="12.53125" style="18" customWidth="1"/>
    <col min="7174" max="7174" width="1.86328125" style="18" customWidth="1"/>
    <col min="7175" max="7175" width="2" style="18" customWidth="1"/>
    <col min="7176" max="7176" width="16" style="18" customWidth="1"/>
    <col min="7177" max="7177" width="26" style="18" customWidth="1"/>
    <col min="7178" max="7178" width="9" style="18"/>
    <col min="7179" max="7179" width="9" style="18" customWidth="1"/>
    <col min="7180" max="7426" width="9" style="18"/>
    <col min="7427" max="7427" width="9.86328125" style="18" customWidth="1"/>
    <col min="7428" max="7428" width="2" style="18" customWidth="1"/>
    <col min="7429" max="7429" width="12.53125" style="18" customWidth="1"/>
    <col min="7430" max="7430" width="1.86328125" style="18" customWidth="1"/>
    <col min="7431" max="7431" width="2" style="18" customWidth="1"/>
    <col min="7432" max="7432" width="16" style="18" customWidth="1"/>
    <col min="7433" max="7433" width="26" style="18" customWidth="1"/>
    <col min="7434" max="7434" width="9" style="18"/>
    <col min="7435" max="7435" width="9" style="18" customWidth="1"/>
    <col min="7436" max="7682" width="9" style="18"/>
    <col min="7683" max="7683" width="9.86328125" style="18" customWidth="1"/>
    <col min="7684" max="7684" width="2" style="18" customWidth="1"/>
    <col min="7685" max="7685" width="12.53125" style="18" customWidth="1"/>
    <col min="7686" max="7686" width="1.86328125" style="18" customWidth="1"/>
    <col min="7687" max="7687" width="2" style="18" customWidth="1"/>
    <col min="7688" max="7688" width="16" style="18" customWidth="1"/>
    <col min="7689" max="7689" width="26" style="18" customWidth="1"/>
    <col min="7690" max="7690" width="9" style="18"/>
    <col min="7691" max="7691" width="9" style="18" customWidth="1"/>
    <col min="7692" max="7938" width="9" style="18"/>
    <col min="7939" max="7939" width="9.86328125" style="18" customWidth="1"/>
    <col min="7940" max="7940" width="2" style="18" customWidth="1"/>
    <col min="7941" max="7941" width="12.53125" style="18" customWidth="1"/>
    <col min="7942" max="7942" width="1.86328125" style="18" customWidth="1"/>
    <col min="7943" max="7943" width="2" style="18" customWidth="1"/>
    <col min="7944" max="7944" width="16" style="18" customWidth="1"/>
    <col min="7945" max="7945" width="26" style="18" customWidth="1"/>
    <col min="7946" max="7946" width="9" style="18"/>
    <col min="7947" max="7947" width="9" style="18" customWidth="1"/>
    <col min="7948" max="8194" width="9" style="18"/>
    <col min="8195" max="8195" width="9.86328125" style="18" customWidth="1"/>
    <col min="8196" max="8196" width="2" style="18" customWidth="1"/>
    <col min="8197" max="8197" width="12.53125" style="18" customWidth="1"/>
    <col min="8198" max="8198" width="1.86328125" style="18" customWidth="1"/>
    <col min="8199" max="8199" width="2" style="18" customWidth="1"/>
    <col min="8200" max="8200" width="16" style="18" customWidth="1"/>
    <col min="8201" max="8201" width="26" style="18" customWidth="1"/>
    <col min="8202" max="8202" width="9" style="18"/>
    <col min="8203" max="8203" width="9" style="18" customWidth="1"/>
    <col min="8204" max="8450" width="9" style="18"/>
    <col min="8451" max="8451" width="9.86328125" style="18" customWidth="1"/>
    <col min="8452" max="8452" width="2" style="18" customWidth="1"/>
    <col min="8453" max="8453" width="12.53125" style="18" customWidth="1"/>
    <col min="8454" max="8454" width="1.86328125" style="18" customWidth="1"/>
    <col min="8455" max="8455" width="2" style="18" customWidth="1"/>
    <col min="8456" max="8456" width="16" style="18" customWidth="1"/>
    <col min="8457" max="8457" width="26" style="18" customWidth="1"/>
    <col min="8458" max="8458" width="9" style="18"/>
    <col min="8459" max="8459" width="9" style="18" customWidth="1"/>
    <col min="8460" max="8706" width="9" style="18"/>
    <col min="8707" max="8707" width="9.86328125" style="18" customWidth="1"/>
    <col min="8708" max="8708" width="2" style="18" customWidth="1"/>
    <col min="8709" max="8709" width="12.53125" style="18" customWidth="1"/>
    <col min="8710" max="8710" width="1.86328125" style="18" customWidth="1"/>
    <col min="8711" max="8711" width="2" style="18" customWidth="1"/>
    <col min="8712" max="8712" width="16" style="18" customWidth="1"/>
    <col min="8713" max="8713" width="26" style="18" customWidth="1"/>
    <col min="8714" max="8714" width="9" style="18"/>
    <col min="8715" max="8715" width="9" style="18" customWidth="1"/>
    <col min="8716" max="8962" width="9" style="18"/>
    <col min="8963" max="8963" width="9.86328125" style="18" customWidth="1"/>
    <col min="8964" max="8964" width="2" style="18" customWidth="1"/>
    <col min="8965" max="8965" width="12.53125" style="18" customWidth="1"/>
    <col min="8966" max="8966" width="1.86328125" style="18" customWidth="1"/>
    <col min="8967" max="8967" width="2" style="18" customWidth="1"/>
    <col min="8968" max="8968" width="16" style="18" customWidth="1"/>
    <col min="8969" max="8969" width="26" style="18" customWidth="1"/>
    <col min="8970" max="8970" width="9" style="18"/>
    <col min="8971" max="8971" width="9" style="18" customWidth="1"/>
    <col min="8972" max="9218" width="9" style="18"/>
    <col min="9219" max="9219" width="9.86328125" style="18" customWidth="1"/>
    <col min="9220" max="9220" width="2" style="18" customWidth="1"/>
    <col min="9221" max="9221" width="12.53125" style="18" customWidth="1"/>
    <col min="9222" max="9222" width="1.86328125" style="18" customWidth="1"/>
    <col min="9223" max="9223" width="2" style="18" customWidth="1"/>
    <col min="9224" max="9224" width="16" style="18" customWidth="1"/>
    <col min="9225" max="9225" width="26" style="18" customWidth="1"/>
    <col min="9226" max="9226" width="9" style="18"/>
    <col min="9227" max="9227" width="9" style="18" customWidth="1"/>
    <col min="9228" max="9474" width="9" style="18"/>
    <col min="9475" max="9475" width="9.86328125" style="18" customWidth="1"/>
    <col min="9476" max="9476" width="2" style="18" customWidth="1"/>
    <col min="9477" max="9477" width="12.53125" style="18" customWidth="1"/>
    <col min="9478" max="9478" width="1.86328125" style="18" customWidth="1"/>
    <col min="9479" max="9479" width="2" style="18" customWidth="1"/>
    <col min="9480" max="9480" width="16" style="18" customWidth="1"/>
    <col min="9481" max="9481" width="26" style="18" customWidth="1"/>
    <col min="9482" max="9482" width="9" style="18"/>
    <col min="9483" max="9483" width="9" style="18" customWidth="1"/>
    <col min="9484" max="9730" width="9" style="18"/>
    <col min="9731" max="9731" width="9.86328125" style="18" customWidth="1"/>
    <col min="9732" max="9732" width="2" style="18" customWidth="1"/>
    <col min="9733" max="9733" width="12.53125" style="18" customWidth="1"/>
    <col min="9734" max="9734" width="1.86328125" style="18" customWidth="1"/>
    <col min="9735" max="9735" width="2" style="18" customWidth="1"/>
    <col min="9736" max="9736" width="16" style="18" customWidth="1"/>
    <col min="9737" max="9737" width="26" style="18" customWidth="1"/>
    <col min="9738" max="9738" width="9" style="18"/>
    <col min="9739" max="9739" width="9" style="18" customWidth="1"/>
    <col min="9740" max="9986" width="9" style="18"/>
    <col min="9987" max="9987" width="9.86328125" style="18" customWidth="1"/>
    <col min="9988" max="9988" width="2" style="18" customWidth="1"/>
    <col min="9989" max="9989" width="12.53125" style="18" customWidth="1"/>
    <col min="9990" max="9990" width="1.86328125" style="18" customWidth="1"/>
    <col min="9991" max="9991" width="2" style="18" customWidth="1"/>
    <col min="9992" max="9992" width="16" style="18" customWidth="1"/>
    <col min="9993" max="9993" width="26" style="18" customWidth="1"/>
    <col min="9994" max="9994" width="9" style="18"/>
    <col min="9995" max="9995" width="9" style="18" customWidth="1"/>
    <col min="9996" max="10242" width="9" style="18"/>
    <col min="10243" max="10243" width="9.86328125" style="18" customWidth="1"/>
    <col min="10244" max="10244" width="2" style="18" customWidth="1"/>
    <col min="10245" max="10245" width="12.53125" style="18" customWidth="1"/>
    <col min="10246" max="10246" width="1.86328125" style="18" customWidth="1"/>
    <col min="10247" max="10247" width="2" style="18" customWidth="1"/>
    <col min="10248" max="10248" width="16" style="18" customWidth="1"/>
    <col min="10249" max="10249" width="26" style="18" customWidth="1"/>
    <col min="10250" max="10250" width="9" style="18"/>
    <col min="10251" max="10251" width="9" style="18" customWidth="1"/>
    <col min="10252" max="10498" width="9" style="18"/>
    <col min="10499" max="10499" width="9.86328125" style="18" customWidth="1"/>
    <col min="10500" max="10500" width="2" style="18" customWidth="1"/>
    <col min="10501" max="10501" width="12.53125" style="18" customWidth="1"/>
    <col min="10502" max="10502" width="1.86328125" style="18" customWidth="1"/>
    <col min="10503" max="10503" width="2" style="18" customWidth="1"/>
    <col min="10504" max="10504" width="16" style="18" customWidth="1"/>
    <col min="10505" max="10505" width="26" style="18" customWidth="1"/>
    <col min="10506" max="10506" width="9" style="18"/>
    <col min="10507" max="10507" width="9" style="18" customWidth="1"/>
    <col min="10508" max="10754" width="9" style="18"/>
    <col min="10755" max="10755" width="9.86328125" style="18" customWidth="1"/>
    <col min="10756" max="10756" width="2" style="18" customWidth="1"/>
    <col min="10757" max="10757" width="12.53125" style="18" customWidth="1"/>
    <col min="10758" max="10758" width="1.86328125" style="18" customWidth="1"/>
    <col min="10759" max="10759" width="2" style="18" customWidth="1"/>
    <col min="10760" max="10760" width="16" style="18" customWidth="1"/>
    <col min="10761" max="10761" width="26" style="18" customWidth="1"/>
    <col min="10762" max="10762" width="9" style="18"/>
    <col min="10763" max="10763" width="9" style="18" customWidth="1"/>
    <col min="10764" max="11010" width="9" style="18"/>
    <col min="11011" max="11011" width="9.86328125" style="18" customWidth="1"/>
    <col min="11012" max="11012" width="2" style="18" customWidth="1"/>
    <col min="11013" max="11013" width="12.53125" style="18" customWidth="1"/>
    <col min="11014" max="11014" width="1.86328125" style="18" customWidth="1"/>
    <col min="11015" max="11015" width="2" style="18" customWidth="1"/>
    <col min="11016" max="11016" width="16" style="18" customWidth="1"/>
    <col min="11017" max="11017" width="26" style="18" customWidth="1"/>
    <col min="11018" max="11018" width="9" style="18"/>
    <col min="11019" max="11019" width="9" style="18" customWidth="1"/>
    <col min="11020" max="11266" width="9" style="18"/>
    <col min="11267" max="11267" width="9.86328125" style="18" customWidth="1"/>
    <col min="11268" max="11268" width="2" style="18" customWidth="1"/>
    <col min="11269" max="11269" width="12.53125" style="18" customWidth="1"/>
    <col min="11270" max="11270" width="1.86328125" style="18" customWidth="1"/>
    <col min="11271" max="11271" width="2" style="18" customWidth="1"/>
    <col min="11272" max="11272" width="16" style="18" customWidth="1"/>
    <col min="11273" max="11273" width="26" style="18" customWidth="1"/>
    <col min="11274" max="11274" width="9" style="18"/>
    <col min="11275" max="11275" width="9" style="18" customWidth="1"/>
    <col min="11276" max="11522" width="9" style="18"/>
    <col min="11523" max="11523" width="9.86328125" style="18" customWidth="1"/>
    <col min="11524" max="11524" width="2" style="18" customWidth="1"/>
    <col min="11525" max="11525" width="12.53125" style="18" customWidth="1"/>
    <col min="11526" max="11526" width="1.86328125" style="18" customWidth="1"/>
    <col min="11527" max="11527" width="2" style="18" customWidth="1"/>
    <col min="11528" max="11528" width="16" style="18" customWidth="1"/>
    <col min="11529" max="11529" width="26" style="18" customWidth="1"/>
    <col min="11530" max="11530" width="9" style="18"/>
    <col min="11531" max="11531" width="9" style="18" customWidth="1"/>
    <col min="11532" max="11778" width="9" style="18"/>
    <col min="11779" max="11779" width="9.86328125" style="18" customWidth="1"/>
    <col min="11780" max="11780" width="2" style="18" customWidth="1"/>
    <col min="11781" max="11781" width="12.53125" style="18" customWidth="1"/>
    <col min="11782" max="11782" width="1.86328125" style="18" customWidth="1"/>
    <col min="11783" max="11783" width="2" style="18" customWidth="1"/>
    <col min="11784" max="11784" width="16" style="18" customWidth="1"/>
    <col min="11785" max="11785" width="26" style="18" customWidth="1"/>
    <col min="11786" max="11786" width="9" style="18"/>
    <col min="11787" max="11787" width="9" style="18" customWidth="1"/>
    <col min="11788" max="12034" width="9" style="18"/>
    <col min="12035" max="12035" width="9.86328125" style="18" customWidth="1"/>
    <col min="12036" max="12036" width="2" style="18" customWidth="1"/>
    <col min="12037" max="12037" width="12.53125" style="18" customWidth="1"/>
    <col min="12038" max="12038" width="1.86328125" style="18" customWidth="1"/>
    <col min="12039" max="12039" width="2" style="18" customWidth="1"/>
    <col min="12040" max="12040" width="16" style="18" customWidth="1"/>
    <col min="12041" max="12041" width="26" style="18" customWidth="1"/>
    <col min="12042" max="12042" width="9" style="18"/>
    <col min="12043" max="12043" width="9" style="18" customWidth="1"/>
    <col min="12044" max="12290" width="9" style="18"/>
    <col min="12291" max="12291" width="9.86328125" style="18" customWidth="1"/>
    <col min="12292" max="12292" width="2" style="18" customWidth="1"/>
    <col min="12293" max="12293" width="12.53125" style="18" customWidth="1"/>
    <col min="12294" max="12294" width="1.86328125" style="18" customWidth="1"/>
    <col min="12295" max="12295" width="2" style="18" customWidth="1"/>
    <col min="12296" max="12296" width="16" style="18" customWidth="1"/>
    <col min="12297" max="12297" width="26" style="18" customWidth="1"/>
    <col min="12298" max="12298" width="9" style="18"/>
    <col min="12299" max="12299" width="9" style="18" customWidth="1"/>
    <col min="12300" max="12546" width="9" style="18"/>
    <col min="12547" max="12547" width="9.86328125" style="18" customWidth="1"/>
    <col min="12548" max="12548" width="2" style="18" customWidth="1"/>
    <col min="12549" max="12549" width="12.53125" style="18" customWidth="1"/>
    <col min="12550" max="12550" width="1.86328125" style="18" customWidth="1"/>
    <col min="12551" max="12551" width="2" style="18" customWidth="1"/>
    <col min="12552" max="12552" width="16" style="18" customWidth="1"/>
    <col min="12553" max="12553" width="26" style="18" customWidth="1"/>
    <col min="12554" max="12554" width="9" style="18"/>
    <col min="12555" max="12555" width="9" style="18" customWidth="1"/>
    <col min="12556" max="12802" width="9" style="18"/>
    <col min="12803" max="12803" width="9.86328125" style="18" customWidth="1"/>
    <col min="12804" max="12804" width="2" style="18" customWidth="1"/>
    <col min="12805" max="12805" width="12.53125" style="18" customWidth="1"/>
    <col min="12806" max="12806" width="1.86328125" style="18" customWidth="1"/>
    <col min="12807" max="12807" width="2" style="18" customWidth="1"/>
    <col min="12808" max="12808" width="16" style="18" customWidth="1"/>
    <col min="12809" max="12809" width="26" style="18" customWidth="1"/>
    <col min="12810" max="12810" width="9" style="18"/>
    <col min="12811" max="12811" width="9" style="18" customWidth="1"/>
    <col min="12812" max="13058" width="9" style="18"/>
    <col min="13059" max="13059" width="9.86328125" style="18" customWidth="1"/>
    <col min="13060" max="13060" width="2" style="18" customWidth="1"/>
    <col min="13061" max="13061" width="12.53125" style="18" customWidth="1"/>
    <col min="13062" max="13062" width="1.86328125" style="18" customWidth="1"/>
    <col min="13063" max="13063" width="2" style="18" customWidth="1"/>
    <col min="13064" max="13064" width="16" style="18" customWidth="1"/>
    <col min="13065" max="13065" width="26" style="18" customWidth="1"/>
    <col min="13066" max="13066" width="9" style="18"/>
    <col min="13067" max="13067" width="9" style="18" customWidth="1"/>
    <col min="13068" max="13314" width="9" style="18"/>
    <col min="13315" max="13315" width="9.86328125" style="18" customWidth="1"/>
    <col min="13316" max="13316" width="2" style="18" customWidth="1"/>
    <col min="13317" max="13317" width="12.53125" style="18" customWidth="1"/>
    <col min="13318" max="13318" width="1.86328125" style="18" customWidth="1"/>
    <col min="13319" max="13319" width="2" style="18" customWidth="1"/>
    <col min="13320" max="13320" width="16" style="18" customWidth="1"/>
    <col min="13321" max="13321" width="26" style="18" customWidth="1"/>
    <col min="13322" max="13322" width="9" style="18"/>
    <col min="13323" max="13323" width="9" style="18" customWidth="1"/>
    <col min="13324" max="13570" width="9" style="18"/>
    <col min="13571" max="13571" width="9.86328125" style="18" customWidth="1"/>
    <col min="13572" max="13572" width="2" style="18" customWidth="1"/>
    <col min="13573" max="13573" width="12.53125" style="18" customWidth="1"/>
    <col min="13574" max="13574" width="1.86328125" style="18" customWidth="1"/>
    <col min="13575" max="13575" width="2" style="18" customWidth="1"/>
    <col min="13576" max="13576" width="16" style="18" customWidth="1"/>
    <col min="13577" max="13577" width="26" style="18" customWidth="1"/>
    <col min="13578" max="13578" width="9" style="18"/>
    <col min="13579" max="13579" width="9" style="18" customWidth="1"/>
    <col min="13580" max="13826" width="9" style="18"/>
    <col min="13827" max="13827" width="9.86328125" style="18" customWidth="1"/>
    <col min="13828" max="13828" width="2" style="18" customWidth="1"/>
    <col min="13829" max="13829" width="12.53125" style="18" customWidth="1"/>
    <col min="13830" max="13830" width="1.86328125" style="18" customWidth="1"/>
    <col min="13831" max="13831" width="2" style="18" customWidth="1"/>
    <col min="13832" max="13832" width="16" style="18" customWidth="1"/>
    <col min="13833" max="13833" width="26" style="18" customWidth="1"/>
    <col min="13834" max="13834" width="9" style="18"/>
    <col min="13835" max="13835" width="9" style="18" customWidth="1"/>
    <col min="13836" max="14082" width="9" style="18"/>
    <col min="14083" max="14083" width="9.86328125" style="18" customWidth="1"/>
    <col min="14084" max="14084" width="2" style="18" customWidth="1"/>
    <col min="14085" max="14085" width="12.53125" style="18" customWidth="1"/>
    <col min="14086" max="14086" width="1.86328125" style="18" customWidth="1"/>
    <col min="14087" max="14087" width="2" style="18" customWidth="1"/>
    <col min="14088" max="14088" width="16" style="18" customWidth="1"/>
    <col min="14089" max="14089" width="26" style="18" customWidth="1"/>
    <col min="14090" max="14090" width="9" style="18"/>
    <col min="14091" max="14091" width="9" style="18" customWidth="1"/>
    <col min="14092" max="14338" width="9" style="18"/>
    <col min="14339" max="14339" width="9.86328125" style="18" customWidth="1"/>
    <col min="14340" max="14340" width="2" style="18" customWidth="1"/>
    <col min="14341" max="14341" width="12.53125" style="18" customWidth="1"/>
    <col min="14342" max="14342" width="1.86328125" style="18" customWidth="1"/>
    <col min="14343" max="14343" width="2" style="18" customWidth="1"/>
    <col min="14344" max="14344" width="16" style="18" customWidth="1"/>
    <col min="14345" max="14345" width="26" style="18" customWidth="1"/>
    <col min="14346" max="14346" width="9" style="18"/>
    <col min="14347" max="14347" width="9" style="18" customWidth="1"/>
    <col min="14348" max="14594" width="9" style="18"/>
    <col min="14595" max="14595" width="9.86328125" style="18" customWidth="1"/>
    <col min="14596" max="14596" width="2" style="18" customWidth="1"/>
    <col min="14597" max="14597" width="12.53125" style="18" customWidth="1"/>
    <col min="14598" max="14598" width="1.86328125" style="18" customWidth="1"/>
    <col min="14599" max="14599" width="2" style="18" customWidth="1"/>
    <col min="14600" max="14600" width="16" style="18" customWidth="1"/>
    <col min="14601" max="14601" width="26" style="18" customWidth="1"/>
    <col min="14602" max="14602" width="9" style="18"/>
    <col min="14603" max="14603" width="9" style="18" customWidth="1"/>
    <col min="14604" max="14850" width="9" style="18"/>
    <col min="14851" max="14851" width="9.86328125" style="18" customWidth="1"/>
    <col min="14852" max="14852" width="2" style="18" customWidth="1"/>
    <col min="14853" max="14853" width="12.53125" style="18" customWidth="1"/>
    <col min="14854" max="14854" width="1.86328125" style="18" customWidth="1"/>
    <col min="14855" max="14855" width="2" style="18" customWidth="1"/>
    <col min="14856" max="14856" width="16" style="18" customWidth="1"/>
    <col min="14857" max="14857" width="26" style="18" customWidth="1"/>
    <col min="14858" max="14858" width="9" style="18"/>
    <col min="14859" max="14859" width="9" style="18" customWidth="1"/>
    <col min="14860" max="15106" width="9" style="18"/>
    <col min="15107" max="15107" width="9.86328125" style="18" customWidth="1"/>
    <col min="15108" max="15108" width="2" style="18" customWidth="1"/>
    <col min="15109" max="15109" width="12.53125" style="18" customWidth="1"/>
    <col min="15110" max="15110" width="1.86328125" style="18" customWidth="1"/>
    <col min="15111" max="15111" width="2" style="18" customWidth="1"/>
    <col min="15112" max="15112" width="16" style="18" customWidth="1"/>
    <col min="15113" max="15113" width="26" style="18" customWidth="1"/>
    <col min="15114" max="15114" width="9" style="18"/>
    <col min="15115" max="15115" width="9" style="18" customWidth="1"/>
    <col min="15116" max="15362" width="9" style="18"/>
    <col min="15363" max="15363" width="9.86328125" style="18" customWidth="1"/>
    <col min="15364" max="15364" width="2" style="18" customWidth="1"/>
    <col min="15365" max="15365" width="12.53125" style="18" customWidth="1"/>
    <col min="15366" max="15366" width="1.86328125" style="18" customWidth="1"/>
    <col min="15367" max="15367" width="2" style="18" customWidth="1"/>
    <col min="15368" max="15368" width="16" style="18" customWidth="1"/>
    <col min="15369" max="15369" width="26" style="18" customWidth="1"/>
    <col min="15370" max="15370" width="9" style="18"/>
    <col min="15371" max="15371" width="9" style="18" customWidth="1"/>
    <col min="15372" max="15618" width="9" style="18"/>
    <col min="15619" max="15619" width="9.86328125" style="18" customWidth="1"/>
    <col min="15620" max="15620" width="2" style="18" customWidth="1"/>
    <col min="15621" max="15621" width="12.53125" style="18" customWidth="1"/>
    <col min="15622" max="15622" width="1.86328125" style="18" customWidth="1"/>
    <col min="15623" max="15623" width="2" style="18" customWidth="1"/>
    <col min="15624" max="15624" width="16" style="18" customWidth="1"/>
    <col min="15625" max="15625" width="26" style="18" customWidth="1"/>
    <col min="15626" max="15626" width="9" style="18"/>
    <col min="15627" max="15627" width="9" style="18" customWidth="1"/>
    <col min="15628" max="15874" width="9" style="18"/>
    <col min="15875" max="15875" width="9.86328125" style="18" customWidth="1"/>
    <col min="15876" max="15876" width="2" style="18" customWidth="1"/>
    <col min="15877" max="15877" width="12.53125" style="18" customWidth="1"/>
    <col min="15878" max="15878" width="1.86328125" style="18" customWidth="1"/>
    <col min="15879" max="15879" width="2" style="18" customWidth="1"/>
    <col min="15880" max="15880" width="16" style="18" customWidth="1"/>
    <col min="15881" max="15881" width="26" style="18" customWidth="1"/>
    <col min="15882" max="15882" width="9" style="18"/>
    <col min="15883" max="15883" width="9" style="18" customWidth="1"/>
    <col min="15884" max="16130" width="9" style="18"/>
    <col min="16131" max="16131" width="9.86328125" style="18" customWidth="1"/>
    <col min="16132" max="16132" width="2" style="18" customWidth="1"/>
    <col min="16133" max="16133" width="12.53125" style="18" customWidth="1"/>
    <col min="16134" max="16134" width="1.86328125" style="18" customWidth="1"/>
    <col min="16135" max="16135" width="2" style="18" customWidth="1"/>
    <col min="16136" max="16136" width="16" style="18" customWidth="1"/>
    <col min="16137" max="16137" width="26" style="18" customWidth="1"/>
    <col min="16138" max="16138" width="9" style="18"/>
    <col min="16139" max="16139" width="9" style="18" customWidth="1"/>
    <col min="16140" max="16384" width="9" style="18"/>
  </cols>
  <sheetData>
    <row r="1" spans="1:16" ht="17.25">
      <c r="C1" s="866" t="str">
        <f>UPPER(opd_pem)</f>
        <v>PEMERINTAH PROVINSI NUSA TENGGARA BARAT</v>
      </c>
      <c r="D1" s="866"/>
      <c r="E1" s="866"/>
      <c r="F1" s="866"/>
      <c r="G1" s="866"/>
      <c r="H1" s="866"/>
      <c r="I1" s="866"/>
      <c r="J1" s="866"/>
      <c r="K1" s="866"/>
    </row>
    <row r="2" spans="1:16" ht="47.1" customHeight="1">
      <c r="C2" s="934" t="str">
        <f>UPPER(opd_nama)</f>
        <v>BADAN PENGELOLAAN KEUANGAN DAN ASET DAERAH</v>
      </c>
      <c r="D2" s="934"/>
      <c r="E2" s="934"/>
      <c r="F2" s="934"/>
      <c r="G2" s="934"/>
      <c r="H2" s="934"/>
      <c r="I2" s="934"/>
      <c r="J2" s="934"/>
      <c r="K2" s="934"/>
    </row>
    <row r="3" spans="1:16" ht="13.15" customHeight="1">
      <c r="A3" s="24"/>
      <c r="B3" s="24"/>
      <c r="C3" s="868" t="str">
        <f>opd_almt</f>
        <v>Jalan Pejanggik Nomor 14 Telp.( 0370 ) 627689, 625345 Fax: 627677</v>
      </c>
      <c r="D3" s="868"/>
      <c r="E3" s="868"/>
      <c r="F3" s="868"/>
      <c r="G3" s="868"/>
      <c r="H3" s="868"/>
      <c r="I3" s="868"/>
      <c r="J3" s="868"/>
      <c r="K3" s="868"/>
    </row>
    <row r="4" spans="1:16" ht="5.25" customHeight="1"/>
    <row r="5" spans="1:16" ht="17.850000000000001" customHeight="1">
      <c r="A5" s="869" t="s">
        <v>1270</v>
      </c>
      <c r="B5" s="869"/>
      <c r="C5" s="869"/>
      <c r="D5" s="869"/>
      <c r="E5" s="869"/>
      <c r="F5" s="869"/>
      <c r="G5" s="869"/>
      <c r="H5" s="869"/>
      <c r="I5" s="869"/>
      <c r="J5" s="869"/>
      <c r="K5" s="869"/>
      <c r="L5" s="68"/>
      <c r="M5" s="69"/>
      <c r="N5" s="70"/>
    </row>
    <row r="6" spans="1:16" ht="15" customHeight="1">
      <c r="A6" s="870" t="str">
        <f>"Nomor: "&amp;Input!D110</f>
        <v>Nomor: 027.3/19/BA.PBY/BPKAD/2024</v>
      </c>
      <c r="B6" s="870"/>
      <c r="C6" s="870"/>
      <c r="D6" s="870"/>
      <c r="E6" s="870"/>
      <c r="F6" s="870"/>
      <c r="G6" s="870"/>
      <c r="H6" s="870"/>
      <c r="I6" s="870"/>
      <c r="J6" s="870"/>
      <c r="K6" s="870"/>
      <c r="L6" s="71" t="s">
        <v>253</v>
      </c>
      <c r="M6" s="69"/>
      <c r="N6" s="58"/>
    </row>
    <row r="7" spans="1:16" customFormat="1" ht="5.25" customHeight="1">
      <c r="A7" s="59"/>
      <c r="B7" s="59"/>
      <c r="C7" s="59"/>
      <c r="D7" s="59"/>
      <c r="E7" s="59"/>
      <c r="F7" s="59"/>
      <c r="G7" s="59"/>
      <c r="H7" s="59"/>
      <c r="I7" s="59"/>
      <c r="J7" s="59"/>
      <c r="K7" s="59"/>
      <c r="L7" s="59"/>
      <c r="M7" s="59"/>
      <c r="N7" s="69"/>
      <c r="O7" s="59"/>
    </row>
    <row r="8" spans="1:16" ht="15" customHeight="1">
      <c r="A8" s="60" t="str">
        <f>"Pada hari ini, "&amp;Input!E110&amp;", tanggal "&amp;Input!H110&amp;" kami yang bertandatangan di bawah ini:"</f>
        <v>Pada hari ini, Senin, tanggal 10 November 2025 kami yang bertandatangan di bawah ini:</v>
      </c>
      <c r="B8" s="60"/>
      <c r="C8" s="27"/>
      <c r="D8" s="27"/>
      <c r="E8" s="27"/>
      <c r="F8" s="27"/>
      <c r="G8" s="27"/>
      <c r="H8" s="27"/>
      <c r="I8" s="27"/>
      <c r="J8" s="27"/>
      <c r="K8" s="27"/>
      <c r="L8" s="72"/>
    </row>
    <row r="9" spans="1:16" ht="3" customHeight="1">
      <c r="A9" s="60"/>
      <c r="B9" s="60"/>
      <c r="C9" s="27"/>
      <c r="D9" s="27"/>
      <c r="E9" s="27"/>
      <c r="F9" s="27"/>
      <c r="G9" s="27"/>
      <c r="H9" s="27"/>
      <c r="I9" s="27"/>
      <c r="J9" s="27"/>
      <c r="K9" s="27"/>
      <c r="L9" s="72"/>
    </row>
    <row r="10" spans="1:16" ht="15" customHeight="1">
      <c r="A10" s="18" t="s">
        <v>1177</v>
      </c>
      <c r="B10" s="60" t="s">
        <v>37</v>
      </c>
      <c r="C10" s="60"/>
      <c r="D10" s="61" t="s">
        <v>2</v>
      </c>
      <c r="E10" s="60" t="str">
        <f>ppk_nama</f>
        <v>Ika Kurnia Mustika, ST, MT</v>
      </c>
      <c r="F10" s="60"/>
      <c r="G10" s="60"/>
      <c r="H10" s="60"/>
      <c r="I10" s="60"/>
      <c r="J10" s="60"/>
      <c r="K10" s="60"/>
      <c r="L10" s="60"/>
      <c r="M10" s="72"/>
    </row>
    <row r="11" spans="1:16" ht="15" customHeight="1">
      <c r="B11" s="60" t="s">
        <v>41</v>
      </c>
      <c r="C11" s="60"/>
      <c r="D11" s="61" t="s">
        <v>2</v>
      </c>
      <c r="E11" s="60" t="str">
        <f>ppk_nip</f>
        <v>19791117 200901 1 006</v>
      </c>
      <c r="F11" s="60"/>
      <c r="G11" s="60"/>
      <c r="H11" s="60"/>
      <c r="I11" s="60"/>
      <c r="J11" s="60"/>
      <c r="K11" s="60"/>
      <c r="L11" s="60"/>
      <c r="M11" s="72"/>
    </row>
    <row r="12" spans="1:16" ht="15" customHeight="1">
      <c r="B12" s="60" t="s">
        <v>50</v>
      </c>
      <c r="C12" s="60"/>
      <c r="D12" s="61" t="s">
        <v>2</v>
      </c>
      <c r="E12" s="60" t="str">
        <f>ppk_jab</f>
        <v>Pejabat Pembuat Komitmen</v>
      </c>
      <c r="F12" s="60"/>
      <c r="G12" s="60"/>
      <c r="H12" s="60"/>
      <c r="I12" s="60"/>
      <c r="J12" s="60"/>
      <c r="K12" s="60"/>
      <c r="L12" s="60"/>
      <c r="M12" s="72"/>
    </row>
    <row r="13" spans="1:16" ht="15" customHeight="1">
      <c r="B13" s="60" t="s">
        <v>190</v>
      </c>
      <c r="C13" s="60"/>
      <c r="D13" s="61" t="s">
        <v>2</v>
      </c>
      <c r="E13" s="884" t="str">
        <f>opd_almt</f>
        <v>Jalan Pejanggik Nomor 14 Telp.( 0370 ) 627689, 625345 Fax: 627677</v>
      </c>
      <c r="F13" s="884"/>
      <c r="G13" s="884"/>
      <c r="H13" s="884"/>
      <c r="I13" s="884"/>
      <c r="J13" s="884"/>
      <c r="K13" s="884"/>
      <c r="L13" s="62"/>
      <c r="M13" s="62"/>
    </row>
    <row r="14" spans="1:16" ht="15" customHeight="1">
      <c r="D14" s="53"/>
      <c r="E14" s="60" t="s">
        <v>1271</v>
      </c>
      <c r="F14" s="60"/>
      <c r="G14" s="60"/>
      <c r="H14" s="60"/>
      <c r="I14" s="60"/>
      <c r="J14" s="60"/>
      <c r="K14" s="60"/>
      <c r="L14" s="60"/>
      <c r="M14" s="60"/>
      <c r="N14" s="60"/>
      <c r="O14" s="60"/>
      <c r="P14" s="72"/>
    </row>
    <row r="15" spans="1:16" ht="3" customHeight="1">
      <c r="B15" s="60"/>
      <c r="C15" s="60"/>
      <c r="D15" s="61"/>
      <c r="E15" s="60"/>
      <c r="F15" s="60"/>
      <c r="G15" s="60"/>
      <c r="H15" s="60"/>
      <c r="I15" s="60"/>
      <c r="J15" s="60"/>
      <c r="K15" s="60"/>
      <c r="L15" s="60"/>
      <c r="M15" s="72"/>
    </row>
    <row r="16" spans="1:16" ht="15" customHeight="1">
      <c r="A16" s="18" t="s">
        <v>1178</v>
      </c>
      <c r="B16" s="60" t="s">
        <v>227</v>
      </c>
      <c r="C16" s="60"/>
      <c r="D16" s="61" t="s">
        <v>2</v>
      </c>
      <c r="E16" s="60" t="str">
        <f>bu_nama</f>
        <v>PT. DARUSSALAM MEDIA GROUP</v>
      </c>
      <c r="F16" s="60"/>
      <c r="G16" s="60"/>
      <c r="H16" s="60"/>
      <c r="I16" s="60"/>
      <c r="J16" s="60"/>
      <c r="K16" s="60"/>
      <c r="L16" s="60"/>
      <c r="M16" s="72"/>
    </row>
    <row r="17" spans="1:16" ht="15" customHeight="1">
      <c r="B17" s="60" t="s">
        <v>188</v>
      </c>
      <c r="C17" s="60"/>
      <c r="D17" s="61" t="s">
        <v>2</v>
      </c>
      <c r="E17" s="60" t="str">
        <f>bu_npwp</f>
        <v>03.990.125.5.8-911.000</v>
      </c>
      <c r="F17" s="60"/>
      <c r="G17" s="60"/>
      <c r="H17" s="60"/>
      <c r="I17" s="60"/>
      <c r="J17" s="60"/>
      <c r="K17" s="60"/>
      <c r="L17" s="60"/>
      <c r="M17" s="72"/>
    </row>
    <row r="18" spans="1:16" ht="31.25" customHeight="1">
      <c r="B18" s="60" t="s">
        <v>190</v>
      </c>
      <c r="C18" s="60"/>
      <c r="D18" s="61" t="s">
        <v>2</v>
      </c>
      <c r="E18" s="884" t="str">
        <f>bu_almt</f>
        <v>JL Meninting 13 No.. 22C BTN Kekalik, Kel. Pagesangan Barat, Kota Mataram, Provinsi Nusa Tenggara Barat</v>
      </c>
      <c r="F18" s="884"/>
      <c r="G18" s="884"/>
      <c r="H18" s="884"/>
      <c r="I18" s="884"/>
      <c r="J18" s="884"/>
      <c r="K18" s="884"/>
      <c r="L18" s="62"/>
      <c r="M18" s="62"/>
    </row>
    <row r="19" spans="1:16" ht="15" customHeight="1">
      <c r="D19" s="53"/>
      <c r="E19" s="60" t="s">
        <v>1272</v>
      </c>
      <c r="F19" s="60"/>
      <c r="G19" s="60"/>
      <c r="H19" s="60"/>
      <c r="I19" s="60"/>
      <c r="J19" s="60"/>
      <c r="K19" s="60"/>
      <c r="L19" s="60"/>
      <c r="M19" s="60"/>
      <c r="N19" s="60"/>
      <c r="O19" s="60"/>
      <c r="P19" s="72"/>
    </row>
    <row r="20" spans="1:16" ht="3" customHeight="1">
      <c r="B20" s="60"/>
      <c r="C20" s="60"/>
      <c r="D20" s="60"/>
      <c r="E20" s="60"/>
      <c r="F20" s="60"/>
      <c r="G20" s="60"/>
      <c r="H20" s="60"/>
      <c r="I20" s="60"/>
      <c r="J20" s="60"/>
      <c r="K20" s="60"/>
      <c r="L20" s="60"/>
      <c r="M20" s="72"/>
    </row>
    <row r="21" spans="1:16" ht="15" customHeight="1">
      <c r="A21" s="884" t="str">
        <f>"Berdasarkan Berita Acara Penyelesaian Pekerjaan yang ditandatangani oleh Pejabat Penandatangan Kontrak dan Penyedia nomor "&amp;Input!D104&amp;" tanggal "&amp;Input!H102&amp;", pekerjaan dinyatakan telah selesai."</f>
        <v>Berdasarkan Berita Acara Penyelesaian Pekerjaan yang ditandatangani oleh Pejabat Penandatangan Kontrak dan Penyedia nomor 027.3/17/BAPH/BPKAD/2024 tanggal 2 September 2023, pekerjaan dinyatakan telah selesai.</v>
      </c>
      <c r="B21" s="884"/>
      <c r="C21" s="884"/>
      <c r="D21" s="884"/>
      <c r="E21" s="884"/>
      <c r="F21" s="884"/>
      <c r="G21" s="884"/>
      <c r="H21" s="884"/>
      <c r="I21" s="884"/>
      <c r="J21" s="884"/>
      <c r="K21" s="884"/>
    </row>
    <row r="22" spans="1:16" ht="15" customHeight="1">
      <c r="A22" s="884"/>
      <c r="B22" s="884"/>
      <c r="C22" s="884"/>
      <c r="D22" s="884"/>
      <c r="E22" s="884"/>
      <c r="F22" s="884"/>
      <c r="G22" s="884"/>
      <c r="H22" s="884"/>
      <c r="I22" s="884"/>
      <c r="J22" s="884"/>
      <c r="K22" s="884"/>
    </row>
    <row r="23" spans="1:16" ht="15" customHeight="1">
      <c r="A23" s="884"/>
      <c r="B23" s="884"/>
      <c r="C23" s="884"/>
      <c r="D23" s="884"/>
      <c r="E23" s="884"/>
      <c r="F23" s="884"/>
      <c r="G23" s="884"/>
      <c r="H23" s="884"/>
      <c r="I23" s="884"/>
      <c r="J23" s="884"/>
      <c r="K23" s="884"/>
    </row>
    <row r="24" spans="1:16" ht="8" customHeight="1">
      <c r="A24" s="62"/>
      <c r="B24" s="62"/>
      <c r="C24" s="62"/>
      <c r="D24" s="62"/>
      <c r="E24" s="62"/>
      <c r="F24" s="62"/>
      <c r="G24" s="62"/>
      <c r="H24" s="62"/>
      <c r="I24" s="62"/>
      <c r="J24" s="62"/>
      <c r="K24" s="62"/>
    </row>
    <row r="25" spans="1:16" ht="15" customHeight="1">
      <c r="A25" s="884" t="str">
        <f>"Sesuai Surat Perintah Kerja (SPK), maka Penyedia berhak menerima pembayaran atas Pekerjaan "&amp;paket&amp;" dari Pejabat Penandatangan Kontrak sebesar Rp. "&amp;TEXT(spk_nilai,tiko1)&amp;" ("&amp;spk_ter&amp;")."</f>
        <v>Sesuai Surat Perintah Kerja (SPK), maka Penyedia berhak menerima pembayaran atas Pekerjaan Belanja Pemeliharaan Bangunan Gedung-Bangunan Gedung Tempat Kerja-Bangunan Gedung Kantor-Pemeliharaan Gedung Bertingkat dari Pejabat Penandatangan Kontrak sebesar Rp. 69,862,000 (Enam Puluh Sembilan Juta Delapan Ratus Enam Puluh Dua Ribu Rupiah).</v>
      </c>
      <c r="B25" s="884"/>
      <c r="C25" s="884"/>
      <c r="D25" s="884"/>
      <c r="E25" s="884"/>
      <c r="F25" s="884"/>
      <c r="G25" s="884"/>
      <c r="H25" s="884"/>
      <c r="I25" s="884"/>
      <c r="J25" s="884"/>
      <c r="K25" s="884"/>
    </row>
    <row r="26" spans="1:16" ht="15" customHeight="1">
      <c r="A26" s="884"/>
      <c r="B26" s="884"/>
      <c r="C26" s="884"/>
      <c r="D26" s="884"/>
      <c r="E26" s="884"/>
      <c r="F26" s="884"/>
      <c r="G26" s="884"/>
      <c r="H26" s="884"/>
      <c r="I26" s="884"/>
      <c r="J26" s="884"/>
      <c r="K26" s="884"/>
    </row>
    <row r="27" spans="1:16" ht="29.1" customHeight="1">
      <c r="A27" s="884"/>
      <c r="B27" s="884"/>
      <c r="C27" s="884"/>
      <c r="D27" s="884"/>
      <c r="E27" s="884"/>
      <c r="F27" s="884"/>
      <c r="G27" s="884"/>
      <c r="H27" s="884"/>
      <c r="I27" s="884"/>
      <c r="J27" s="884"/>
      <c r="K27" s="884"/>
    </row>
    <row r="28" spans="1:16" ht="8" customHeight="1">
      <c r="A28" s="60"/>
      <c r="B28" s="60"/>
      <c r="C28" s="27"/>
      <c r="D28" s="27"/>
      <c r="E28" s="27"/>
      <c r="F28" s="27"/>
      <c r="G28" s="27"/>
      <c r="H28" s="27"/>
      <c r="I28" s="27"/>
      <c r="J28" s="27"/>
      <c r="K28" s="72"/>
    </row>
    <row r="29" spans="1:16" ht="15" customHeight="1">
      <c r="A29" s="60" t="s">
        <v>1273</v>
      </c>
      <c r="B29" s="60"/>
      <c r="C29" s="60"/>
      <c r="D29" s="60"/>
      <c r="E29" s="60"/>
      <c r="F29" s="60"/>
      <c r="G29" s="60"/>
      <c r="H29" s="60"/>
      <c r="I29" s="60"/>
      <c r="J29" s="60"/>
      <c r="K29" s="72"/>
    </row>
    <row r="30" spans="1:16" ht="15" customHeight="1">
      <c r="A30" s="60"/>
      <c r="B30" s="60" t="s">
        <v>237</v>
      </c>
      <c r="C30" s="60"/>
      <c r="D30" s="61" t="s">
        <v>2</v>
      </c>
      <c r="E30" s="60" t="str">
        <f>Input!D164</f>
        <v>001-02-0039638-3</v>
      </c>
      <c r="F30" s="60"/>
      <c r="G30" s="60"/>
      <c r="H30" s="60"/>
      <c r="I30" s="60"/>
      <c r="J30" s="60"/>
      <c r="K30" s="72"/>
    </row>
    <row r="31" spans="1:16" ht="15" customHeight="1">
      <c r="A31" s="60"/>
      <c r="B31" s="60" t="s">
        <v>244</v>
      </c>
      <c r="C31" s="60"/>
      <c r="D31" s="61" t="s">
        <v>2</v>
      </c>
      <c r="E31" s="60" t="str">
        <f>Input!D165</f>
        <v>Bank NTB Syariah</v>
      </c>
      <c r="F31" s="60"/>
      <c r="G31" s="60"/>
      <c r="H31" s="60"/>
      <c r="I31" s="60"/>
      <c r="J31" s="60"/>
      <c r="K31" s="72"/>
    </row>
    <row r="32" spans="1:16" ht="15" customHeight="1">
      <c r="A32" s="60"/>
      <c r="B32" s="60" t="s">
        <v>245</v>
      </c>
      <c r="C32" s="60"/>
      <c r="D32" s="61" t="s">
        <v>2</v>
      </c>
      <c r="E32" s="60" t="str">
        <f>Input!D166</f>
        <v>PT. DARUSSALAM MEDIA GROUP</v>
      </c>
      <c r="F32" s="60"/>
      <c r="G32" s="60"/>
      <c r="H32" s="60"/>
      <c r="I32" s="60"/>
      <c r="J32" s="60"/>
      <c r="K32" s="72"/>
    </row>
    <row r="33" spans="1:13" ht="8" customHeight="1">
      <c r="A33" s="60"/>
      <c r="B33" s="60"/>
      <c r="C33" s="60"/>
      <c r="D33" s="60"/>
      <c r="E33" s="60"/>
      <c r="F33" s="60"/>
      <c r="G33" s="60"/>
      <c r="H33" s="60"/>
      <c r="I33" s="60"/>
      <c r="J33" s="60"/>
      <c r="K33" s="72"/>
    </row>
    <row r="34" spans="1:13" ht="15" customHeight="1">
      <c r="A34" s="60" t="s">
        <v>1274</v>
      </c>
      <c r="B34" s="60"/>
      <c r="C34" s="60"/>
      <c r="D34" s="60"/>
      <c r="E34" s="60"/>
      <c r="F34" s="60"/>
      <c r="G34" s="60"/>
      <c r="H34" s="60"/>
      <c r="I34" s="60"/>
      <c r="J34" s="60"/>
      <c r="K34" s="72"/>
    </row>
    <row r="35" spans="1:13" s="56" customFormat="1" ht="15" customHeight="1">
      <c r="B35" s="37"/>
      <c r="C35" s="37"/>
      <c r="D35" s="44"/>
      <c r="E35" s="63"/>
      <c r="F35" s="63"/>
      <c r="G35" s="44"/>
      <c r="H35" s="44"/>
      <c r="I35" s="44"/>
      <c r="J35" s="73"/>
      <c r="K35" s="74"/>
      <c r="L35" s="74"/>
      <c r="M35" s="37"/>
    </row>
    <row r="36" spans="1:13" s="56" customFormat="1" ht="15" customHeight="1">
      <c r="B36" s="37"/>
      <c r="C36" s="37"/>
      <c r="D36" s="44" t="s">
        <v>163</v>
      </c>
      <c r="E36" s="63"/>
      <c r="F36" s="63"/>
      <c r="G36" s="44"/>
      <c r="H36" s="44" t="str">
        <f>opd_nama</f>
        <v>Badan Pengelolaan Keuangan dan Aset Daerah</v>
      </c>
      <c r="I36" s="44"/>
      <c r="J36" s="73"/>
      <c r="K36" s="74"/>
      <c r="L36" s="74"/>
      <c r="M36" s="37"/>
    </row>
    <row r="37" spans="1:13" s="56" customFormat="1" ht="15" customHeight="1">
      <c r="B37" s="37"/>
      <c r="C37" s="37"/>
      <c r="D37" s="44" t="str">
        <f>bu_nama</f>
        <v>PT. DARUSSALAM MEDIA GROUP</v>
      </c>
      <c r="E37" s="63"/>
      <c r="F37" s="63"/>
      <c r="G37" s="44"/>
      <c r="H37" s="44" t="s">
        <v>1149</v>
      </c>
      <c r="I37" s="44"/>
      <c r="J37" s="73"/>
      <c r="K37" s="74"/>
      <c r="L37" s="74"/>
      <c r="M37" s="37"/>
    </row>
    <row r="38" spans="1:13" s="56" customFormat="1" ht="15" customHeight="1">
      <c r="B38" s="37"/>
      <c r="C38" s="37"/>
      <c r="D38" s="64"/>
      <c r="E38" s="63"/>
      <c r="F38" s="63"/>
      <c r="G38" s="44"/>
      <c r="H38" s="44"/>
      <c r="I38" s="44"/>
      <c r="J38" s="73"/>
      <c r="K38" s="74"/>
      <c r="L38" s="74"/>
      <c r="M38" s="37"/>
    </row>
    <row r="39" spans="1:13" s="56" customFormat="1" ht="15" customHeight="1">
      <c r="B39" s="37"/>
      <c r="C39" s="37"/>
      <c r="D39" s="64"/>
      <c r="E39" s="63"/>
      <c r="F39" s="63"/>
      <c r="G39" s="44"/>
      <c r="H39" s="44"/>
      <c r="I39" s="44"/>
      <c r="J39" s="73"/>
      <c r="K39" s="74"/>
      <c r="L39" s="74"/>
      <c r="M39" s="37"/>
    </row>
    <row r="40" spans="1:13" s="56" customFormat="1" ht="15" customHeight="1">
      <c r="B40" s="37"/>
      <c r="C40" s="37"/>
      <c r="D40" s="64"/>
      <c r="E40" s="63"/>
      <c r="F40" s="63"/>
      <c r="G40" s="44"/>
      <c r="H40" s="44"/>
      <c r="I40" s="44"/>
      <c r="J40" s="73"/>
      <c r="K40" s="74"/>
      <c r="L40" s="74"/>
      <c r="M40" s="37"/>
    </row>
    <row r="41" spans="1:13" s="56" customFormat="1" ht="15" customHeight="1">
      <c r="B41" s="37"/>
      <c r="C41" s="37"/>
      <c r="D41" s="65" t="str">
        <f>bu_pimn</f>
        <v>Saripudin</v>
      </c>
      <c r="E41" s="63"/>
      <c r="F41" s="63"/>
      <c r="G41" s="44"/>
      <c r="H41" s="65" t="str">
        <f>ppk_nama</f>
        <v>Ika Kurnia Mustika, ST, MT</v>
      </c>
      <c r="I41" s="65"/>
      <c r="J41" s="73"/>
      <c r="K41" s="74"/>
      <c r="L41" s="74"/>
      <c r="M41" s="37"/>
    </row>
    <row r="42" spans="1:13" s="56" customFormat="1" ht="15" customHeight="1">
      <c r="B42" s="37"/>
      <c r="C42" s="37"/>
      <c r="D42" s="44" t="str">
        <f>bu_pim</f>
        <v>Direktur</v>
      </c>
      <c r="E42" s="63"/>
      <c r="F42" s="63"/>
      <c r="G42" s="44"/>
      <c r="H42" s="44" t="str">
        <f>"NIP. "&amp;ppk_nip</f>
        <v>NIP. 19791117 200901 1 006</v>
      </c>
      <c r="I42" s="44"/>
      <c r="J42" s="73"/>
      <c r="K42" s="74"/>
      <c r="L42" s="74"/>
      <c r="M42" s="37"/>
    </row>
    <row r="43" spans="1:13" ht="8" customHeight="1">
      <c r="A43" s="37"/>
      <c r="B43" s="37"/>
      <c r="C43" s="38"/>
      <c r="D43" s="38"/>
      <c r="E43" s="37"/>
      <c r="F43" s="37"/>
      <c r="G43" s="37"/>
      <c r="H43" s="37"/>
      <c r="I43" s="37"/>
      <c r="J43" s="37"/>
      <c r="K43" s="37"/>
    </row>
    <row r="44" spans="1:13" ht="15" customHeight="1">
      <c r="A44" s="37"/>
      <c r="B44" s="37"/>
      <c r="C44" s="38"/>
      <c r="D44" s="38"/>
      <c r="E44" s="37"/>
      <c r="F44" s="44" t="s">
        <v>1186</v>
      </c>
      <c r="G44" s="39"/>
      <c r="H44" s="39"/>
      <c r="I44" s="39"/>
      <c r="J44" s="37"/>
      <c r="K44" s="37"/>
    </row>
    <row r="45" spans="1:13" ht="15" customHeight="1">
      <c r="A45" s="37"/>
      <c r="B45" s="37"/>
      <c r="C45" s="38"/>
      <c r="D45" s="38"/>
      <c r="E45" s="37"/>
      <c r="F45" s="44" t="str">
        <f>pa_jab</f>
        <v>Kepala Badan Pengelolaan Keuangan dan Aset Daerah</v>
      </c>
      <c r="G45" s="37"/>
      <c r="H45" s="37"/>
      <c r="I45" s="37"/>
      <c r="J45" s="37"/>
      <c r="K45" s="37"/>
    </row>
    <row r="46" spans="1:13">
      <c r="F46" s="44" t="str">
        <f>"Selaku "&amp;pa_sku</f>
        <v>Selaku Pengguna Anggaran</v>
      </c>
    </row>
    <row r="47" spans="1:13">
      <c r="F47" s="44"/>
    </row>
    <row r="48" spans="1:13">
      <c r="F48" s="44"/>
    </row>
    <row r="49" spans="1:12">
      <c r="F49" s="44"/>
    </row>
    <row r="50" spans="1:12">
      <c r="F50" s="65" t="str">
        <f>pa_nam</f>
        <v>Dr. H. Nursalim., S.Sos., M.M</v>
      </c>
    </row>
    <row r="51" spans="1:12">
      <c r="F51" s="44" t="str">
        <f>pa_gol2&amp;" ("&amp;pa_gol&amp;")"</f>
        <v>Pembina Utama Muda (IV/c)</v>
      </c>
    </row>
    <row r="52" spans="1:12">
      <c r="F52" s="44" t="str">
        <f>"NIP. "&amp;pa_nip</f>
        <v>NIP. 19721231 199402 1 009</v>
      </c>
    </row>
    <row r="53" spans="1:12">
      <c r="F53" s="37"/>
    </row>
    <row r="54" spans="1:12">
      <c r="A54" s="37"/>
      <c r="B54" s="37"/>
      <c r="C54" s="37"/>
      <c r="D54" s="37"/>
      <c r="E54" s="37"/>
      <c r="F54" s="37"/>
      <c r="G54" s="37"/>
      <c r="H54" s="37"/>
      <c r="I54" s="37"/>
      <c r="J54" s="37"/>
      <c r="K54" s="37"/>
    </row>
    <row r="55" spans="1:12">
      <c r="A55" s="37" t="s">
        <v>1275</v>
      </c>
      <c r="B55" s="37"/>
      <c r="C55" s="37"/>
      <c r="D55" s="37"/>
      <c r="E55" s="37"/>
      <c r="F55" s="37"/>
      <c r="H55" s="37" t="s">
        <v>1276</v>
      </c>
      <c r="I55" s="37" t="s">
        <v>2</v>
      </c>
      <c r="J55" s="37" t="s">
        <v>1277</v>
      </c>
      <c r="K55" s="37"/>
      <c r="L55" s="71" t="s">
        <v>253</v>
      </c>
    </row>
    <row r="56" spans="1:12">
      <c r="A56" s="37"/>
      <c r="B56" s="37"/>
      <c r="C56" s="37"/>
      <c r="D56" s="37"/>
      <c r="E56" s="37"/>
      <c r="F56" s="37"/>
      <c r="H56" s="37" t="s">
        <v>1278</v>
      </c>
      <c r="I56" s="37" t="s">
        <v>2</v>
      </c>
      <c r="J56" s="37"/>
      <c r="K56" s="37"/>
    </row>
    <row r="57" spans="1:12">
      <c r="A57" s="37"/>
      <c r="B57" s="37"/>
      <c r="C57" s="37"/>
      <c r="D57" s="37"/>
      <c r="E57" s="37"/>
      <c r="F57" s="37"/>
      <c r="H57" s="37" t="s">
        <v>1279</v>
      </c>
      <c r="I57" s="37" t="s">
        <v>2</v>
      </c>
      <c r="J57" s="37"/>
      <c r="K57" s="37"/>
    </row>
    <row r="58" spans="1:12">
      <c r="A58" s="37"/>
      <c r="B58" s="37"/>
      <c r="C58" s="37"/>
      <c r="D58" s="37"/>
      <c r="E58" s="37"/>
      <c r="F58" s="37"/>
      <c r="H58" s="37" t="s">
        <v>1280</v>
      </c>
      <c r="I58" s="37" t="s">
        <v>2</v>
      </c>
      <c r="J58" s="37"/>
      <c r="K58" s="37"/>
    </row>
    <row r="59" spans="1:12">
      <c r="A59" s="37"/>
      <c r="B59" s="37"/>
      <c r="C59" s="37"/>
      <c r="D59" s="37"/>
      <c r="E59" s="37"/>
      <c r="F59" s="37"/>
      <c r="G59" s="37"/>
      <c r="H59" s="37"/>
      <c r="I59" s="37"/>
      <c r="J59" s="37"/>
      <c r="K59" s="37"/>
    </row>
    <row r="60" spans="1:12" ht="21">
      <c r="A60" s="1323" t="s">
        <v>1281</v>
      </c>
      <c r="B60" s="1323"/>
      <c r="C60" s="1323"/>
      <c r="D60" s="1323"/>
      <c r="E60" s="1323"/>
      <c r="F60" s="1323"/>
      <c r="G60" s="1323"/>
      <c r="H60" s="1323"/>
      <c r="I60" s="1323"/>
      <c r="J60" s="1323"/>
      <c r="K60" s="1323"/>
    </row>
    <row r="61" spans="1:12">
      <c r="A61" s="37"/>
      <c r="B61" s="37"/>
      <c r="C61" s="37"/>
      <c r="D61" s="37"/>
      <c r="E61" s="37"/>
      <c r="F61" s="37"/>
      <c r="G61" s="37"/>
      <c r="H61" s="37"/>
      <c r="I61" s="37"/>
      <c r="J61" s="37"/>
      <c r="K61" s="37"/>
    </row>
    <row r="62" spans="1:12">
      <c r="A62" s="37"/>
      <c r="B62" s="37"/>
      <c r="C62" s="37"/>
      <c r="D62" s="37"/>
      <c r="E62" s="37"/>
      <c r="F62" s="37"/>
      <c r="G62" s="37"/>
      <c r="H62" s="37"/>
      <c r="I62" s="37"/>
      <c r="J62" s="37"/>
      <c r="K62" s="37"/>
    </row>
    <row r="63" spans="1:12">
      <c r="A63" s="66" t="s">
        <v>1282</v>
      </c>
      <c r="B63" s="66"/>
      <c r="C63" s="66"/>
      <c r="D63" s="67" t="s">
        <v>2</v>
      </c>
      <c r="E63" s="1324" t="str">
        <f>UPPER(pa_jab)</f>
        <v>KEPALA BADAN PENGELOLAAN KEUANGAN DAN ASET DAERAH</v>
      </c>
      <c r="F63" s="1324"/>
      <c r="G63" s="1324"/>
      <c r="H63" s="1324"/>
      <c r="I63" s="1324"/>
      <c r="J63" s="1324"/>
      <c r="K63" s="1324"/>
    </row>
    <row r="64" spans="1:12">
      <c r="A64" s="37"/>
      <c r="B64" s="37"/>
      <c r="C64" s="37"/>
      <c r="D64" s="44"/>
      <c r="E64" s="37"/>
      <c r="F64" s="37"/>
      <c r="G64" s="37"/>
      <c r="H64" s="37"/>
      <c r="I64" s="37"/>
      <c r="J64" s="37"/>
      <c r="K64" s="37"/>
    </row>
    <row r="65" spans="1:11">
      <c r="A65" s="37" t="s">
        <v>1283</v>
      </c>
      <c r="B65" s="37"/>
      <c r="C65" s="37"/>
      <c r="D65" s="44" t="s">
        <v>2</v>
      </c>
      <c r="E65" s="1325">
        <f>spk_nilai</f>
        <v>69862000</v>
      </c>
      <c r="F65" s="1325"/>
      <c r="G65" s="37"/>
      <c r="H65" s="37"/>
      <c r="I65" s="37"/>
      <c r="J65" s="37"/>
      <c r="K65" s="37"/>
    </row>
    <row r="66" spans="1:11">
      <c r="A66" s="37"/>
      <c r="B66" s="37"/>
      <c r="C66" s="37"/>
      <c r="D66" s="44"/>
      <c r="E66" s="37"/>
      <c r="F66" s="37"/>
      <c r="G66" s="37"/>
      <c r="H66" s="37"/>
      <c r="I66" s="37"/>
      <c r="J66" s="37"/>
      <c r="K66" s="37"/>
    </row>
    <row r="67" spans="1:11">
      <c r="A67" s="37" t="s">
        <v>1284</v>
      </c>
      <c r="B67" s="37"/>
      <c r="C67" s="37"/>
      <c r="D67" s="44" t="s">
        <v>2</v>
      </c>
      <c r="E67" s="1148" t="str">
        <f>paket</f>
        <v>Belanja Pemeliharaan Bangunan Gedung-Bangunan Gedung Tempat Kerja-Bangunan Gedung Kantor-Pemeliharaan Gedung Bertingkat</v>
      </c>
      <c r="F67" s="1148"/>
      <c r="G67" s="1148"/>
      <c r="H67" s="1148"/>
      <c r="I67" s="1148"/>
      <c r="J67" s="1148"/>
      <c r="K67" s="1148"/>
    </row>
    <row r="68" spans="1:11">
      <c r="A68" s="37"/>
      <c r="B68" s="37"/>
      <c r="C68" s="37"/>
      <c r="D68" s="44"/>
      <c r="E68" s="37"/>
      <c r="F68" s="37"/>
      <c r="G68" s="37"/>
      <c r="H68" s="37"/>
      <c r="I68" s="37"/>
      <c r="J68" s="37"/>
      <c r="K68" s="37"/>
    </row>
    <row r="69" spans="1:11">
      <c r="A69" s="37" t="s">
        <v>1285</v>
      </c>
      <c r="B69" s="37"/>
      <c r="C69" s="37"/>
      <c r="D69" s="44" t="s">
        <v>2</v>
      </c>
      <c r="E69" s="37" t="str">
        <f>spk_ter</f>
        <v>Enam Puluh Sembilan Juta Delapan Ratus Enam Puluh Dua Ribu Rupiah</v>
      </c>
      <c r="F69" s="37"/>
      <c r="G69" s="37"/>
      <c r="H69" s="37"/>
      <c r="I69" s="37"/>
      <c r="J69" s="37"/>
      <c r="K69" s="37"/>
    </row>
    <row r="70" spans="1:11">
      <c r="A70" s="37"/>
      <c r="B70" s="37"/>
      <c r="C70" s="37"/>
      <c r="D70" s="37"/>
      <c r="E70" s="37"/>
      <c r="F70" s="37"/>
      <c r="G70" s="37"/>
      <c r="H70" s="37"/>
      <c r="I70" s="37"/>
      <c r="J70" s="37"/>
      <c r="K70" s="37"/>
    </row>
    <row r="71" spans="1:11">
      <c r="A71" s="37"/>
      <c r="B71" s="37"/>
      <c r="C71" s="37"/>
      <c r="D71" s="37"/>
      <c r="E71" s="37"/>
      <c r="F71" s="37"/>
      <c r="G71" s="37"/>
      <c r="H71" s="37"/>
      <c r="I71" s="37"/>
      <c r="J71" s="37"/>
      <c r="K71" s="37"/>
    </row>
    <row r="72" spans="1:11">
      <c r="A72" s="1138" t="s">
        <v>1286</v>
      </c>
      <c r="B72" s="1138"/>
      <c r="C72" s="1138"/>
      <c r="D72" s="1138"/>
      <c r="E72" s="1138"/>
      <c r="F72" s="1138"/>
      <c r="G72" s="1138"/>
      <c r="H72" s="1138" t="str">
        <f>"Mataram, "&amp;"                                "&amp;tahun</f>
        <v>Mataram,                                 2025</v>
      </c>
      <c r="I72" s="1138"/>
      <c r="J72" s="1138"/>
      <c r="K72" s="1138"/>
    </row>
    <row r="73" spans="1:11">
      <c r="A73" s="1111" t="str">
        <f>pa_jab</f>
        <v>Kepala Badan Pengelolaan Keuangan dan Aset Daerah</v>
      </c>
      <c r="B73" s="1111"/>
      <c r="C73" s="1111"/>
      <c r="D73" s="1111"/>
      <c r="E73" s="1111"/>
      <c r="F73" s="1138"/>
      <c r="G73" s="1138"/>
      <c r="H73" s="1138"/>
      <c r="I73" s="1138"/>
      <c r="J73" s="1138"/>
      <c r="K73" s="1138"/>
    </row>
    <row r="74" spans="1:11">
      <c r="A74" s="1111"/>
      <c r="B74" s="1111"/>
      <c r="C74" s="1111"/>
      <c r="D74" s="1111"/>
      <c r="E74" s="1111"/>
      <c r="F74" s="1138" t="s">
        <v>1287</v>
      </c>
      <c r="G74" s="1138"/>
      <c r="H74" s="1138" t="s">
        <v>1288</v>
      </c>
      <c r="I74" s="1138"/>
      <c r="J74" s="1138"/>
      <c r="K74" s="1138"/>
    </row>
    <row r="75" spans="1:11">
      <c r="A75" s="1138" t="str">
        <f>"Selaku "&amp;pa_sku</f>
        <v>Selaku Pengguna Anggaran</v>
      </c>
      <c r="B75" s="1138"/>
      <c r="C75" s="1138"/>
      <c r="D75" s="1138"/>
      <c r="E75" s="1138"/>
      <c r="F75" s="1138" t="s">
        <v>1289</v>
      </c>
      <c r="G75" s="1138"/>
      <c r="H75" s="1136" t="str">
        <f>bu_nama</f>
        <v>PT. DARUSSALAM MEDIA GROUP</v>
      </c>
      <c r="I75" s="1136"/>
      <c r="J75" s="1136"/>
      <c r="K75" s="1136"/>
    </row>
    <row r="76" spans="1:11">
      <c r="A76" s="1326"/>
      <c r="B76" s="1326"/>
      <c r="C76" s="1326"/>
      <c r="D76" s="1326"/>
      <c r="E76" s="1326"/>
      <c r="F76" s="1138"/>
      <c r="G76" s="1138"/>
      <c r="H76" s="1138"/>
      <c r="I76" s="1138"/>
      <c r="J76" s="1138"/>
      <c r="K76" s="1138"/>
    </row>
    <row r="77" spans="1:11">
      <c r="A77" s="1326"/>
      <c r="B77" s="1326"/>
      <c r="C77" s="1326"/>
      <c r="D77" s="1326"/>
      <c r="E77" s="1326"/>
      <c r="F77" s="1138"/>
      <c r="G77" s="1138"/>
      <c r="H77" s="1138"/>
      <c r="I77" s="1138"/>
      <c r="J77" s="1138"/>
      <c r="K77" s="1138"/>
    </row>
    <row r="78" spans="1:11">
      <c r="A78" s="1326"/>
      <c r="B78" s="1326"/>
      <c r="C78" s="1326"/>
      <c r="D78" s="1326"/>
      <c r="E78" s="1326"/>
      <c r="F78" s="1138"/>
      <c r="G78" s="1138"/>
      <c r="H78" s="1138"/>
      <c r="I78" s="1138"/>
      <c r="J78" s="1138"/>
      <c r="K78" s="1138"/>
    </row>
    <row r="79" spans="1:11">
      <c r="A79" s="1241" t="str">
        <f>pa_nam</f>
        <v>Dr. H. Nursalim., S.Sos., M.M</v>
      </c>
      <c r="B79" s="1241"/>
      <c r="C79" s="1241"/>
      <c r="D79" s="1241"/>
      <c r="E79" s="1241"/>
      <c r="F79" s="1241" t="str">
        <f>Input!$D$170</f>
        <v>Warni Juita, SE</v>
      </c>
      <c r="G79" s="1241"/>
      <c r="H79" s="1241" t="str">
        <f>bu_pimn</f>
        <v>Saripudin</v>
      </c>
      <c r="I79" s="1241"/>
      <c r="J79" s="1241"/>
      <c r="K79" s="1241"/>
    </row>
    <row r="80" spans="1:11">
      <c r="A80" s="1138" t="str">
        <f>"NIP. "&amp;pa_nip</f>
        <v>NIP. 19721231 199402 1 009</v>
      </c>
      <c r="B80" s="1138"/>
      <c r="C80" s="1138"/>
      <c r="D80" s="1138"/>
      <c r="E80" s="1138"/>
      <c r="F80" s="1138" t="str">
        <f>"NIP. "&amp;Input!$D$171</f>
        <v>NIP. 19821231 200801 2 021</v>
      </c>
      <c r="G80" s="1138"/>
      <c r="H80" s="1138" t="str">
        <f>"NPWP. "&amp;bu_npwp</f>
        <v>NPWP. 03.990.125.5.8-911.000</v>
      </c>
      <c r="I80" s="1138"/>
      <c r="J80" s="1138"/>
      <c r="K80" s="1138"/>
    </row>
    <row r="81" spans="1:11">
      <c r="A81" s="37"/>
      <c r="B81" s="37"/>
      <c r="C81" s="37"/>
      <c r="D81" s="37"/>
      <c r="E81" s="37"/>
      <c r="F81" s="37"/>
      <c r="G81" s="37"/>
      <c r="H81" s="37"/>
      <c r="I81" s="37"/>
      <c r="J81" s="37"/>
      <c r="K81" s="37"/>
    </row>
    <row r="82" spans="1:11">
      <c r="A82" s="37"/>
      <c r="B82" s="37"/>
      <c r="C82" s="37"/>
      <c r="D82" s="37"/>
      <c r="E82" s="37"/>
      <c r="F82" s="1138" t="s">
        <v>1290</v>
      </c>
      <c r="G82" s="1138"/>
      <c r="H82" s="37"/>
      <c r="I82" s="37"/>
      <c r="J82" s="37"/>
      <c r="K82" s="37"/>
    </row>
    <row r="83" spans="1:11">
      <c r="A83" s="37"/>
      <c r="B83" s="37"/>
      <c r="C83" s="37"/>
      <c r="D83" s="37"/>
      <c r="E83" s="37"/>
      <c r="F83" s="1138" t="s">
        <v>1291</v>
      </c>
      <c r="G83" s="1138"/>
      <c r="H83" s="37"/>
      <c r="I83" s="37"/>
      <c r="J83" s="37"/>
      <c r="K83" s="37"/>
    </row>
    <row r="84" spans="1:11">
      <c r="A84" s="1138"/>
      <c r="B84" s="1138"/>
      <c r="C84" s="1138"/>
      <c r="D84" s="1138"/>
      <c r="E84" s="1138"/>
      <c r="F84" s="1138"/>
      <c r="G84" s="1138"/>
      <c r="H84" s="1138"/>
      <c r="I84" s="1138"/>
      <c r="J84" s="1138"/>
      <c r="K84" s="1138"/>
    </row>
    <row r="85" spans="1:11">
      <c r="A85" s="1138" t="str">
        <f>php_jab</f>
        <v>Pejabat Pemeriksa Hasil Pekerjaan</v>
      </c>
      <c r="B85" s="1138"/>
      <c r="C85" s="1138"/>
      <c r="D85" s="1138"/>
      <c r="E85" s="1138"/>
      <c r="F85" s="1138"/>
      <c r="G85" s="1138"/>
      <c r="H85" s="1138" t="str">
        <f>ppk_jab</f>
        <v>Pejabat Pembuat Komitmen</v>
      </c>
      <c r="I85" s="1138"/>
      <c r="J85" s="1138"/>
      <c r="K85" s="1138"/>
    </row>
    <row r="86" spans="1:11">
      <c r="A86" s="1326"/>
      <c r="B86" s="1326"/>
      <c r="C86" s="1326"/>
      <c r="D86" s="1326"/>
      <c r="E86" s="1326"/>
      <c r="F86" s="1138"/>
      <c r="G86" s="1138"/>
      <c r="H86" s="1138"/>
      <c r="I86" s="1138"/>
      <c r="J86" s="1138"/>
      <c r="K86" s="1138"/>
    </row>
    <row r="87" spans="1:11">
      <c r="A87" s="1326"/>
      <c r="B87" s="1326"/>
      <c r="C87" s="1326"/>
      <c r="D87" s="1326"/>
      <c r="E87" s="1326"/>
      <c r="F87" s="1138"/>
      <c r="G87" s="1138"/>
      <c r="H87" s="1138"/>
      <c r="I87" s="1138"/>
      <c r="J87" s="1138"/>
      <c r="K87" s="1138"/>
    </row>
    <row r="88" spans="1:11">
      <c r="A88" s="1326"/>
      <c r="B88" s="1326"/>
      <c r="C88" s="1326"/>
      <c r="D88" s="1326"/>
      <c r="E88" s="1326"/>
      <c r="F88" s="1138"/>
      <c r="G88" s="1138"/>
      <c r="H88" s="1138"/>
      <c r="I88" s="1138"/>
      <c r="J88" s="1138"/>
      <c r="K88" s="1138"/>
    </row>
    <row r="89" spans="1:11">
      <c r="A89" s="1241" t="str">
        <f>php_na1</f>
        <v>Nyiur Melambai</v>
      </c>
      <c r="B89" s="1241"/>
      <c r="C89" s="1241"/>
      <c r="D89" s="1241"/>
      <c r="E89" s="1241"/>
      <c r="F89" s="1241"/>
      <c r="G89" s="1241"/>
      <c r="H89" s="1241" t="str">
        <f>ppk_nama</f>
        <v>Ika Kurnia Mustika, ST, MT</v>
      </c>
      <c r="I89" s="1241"/>
      <c r="J89" s="1241"/>
      <c r="K89" s="1241"/>
    </row>
    <row r="90" spans="1:11">
      <c r="A90" s="1138" t="str">
        <f>"NIP. "&amp;php_nip1</f>
        <v>NIP. 19920202 200202 2 002</v>
      </c>
      <c r="B90" s="1138"/>
      <c r="C90" s="1138"/>
      <c r="D90" s="1138"/>
      <c r="E90" s="1138"/>
      <c r="F90" s="1138"/>
      <c r="G90" s="1138"/>
      <c r="H90" s="1138" t="str">
        <f>"NIP. "&amp;ppk_nip</f>
        <v>NIP. 19791117 200901 1 006</v>
      </c>
      <c r="I90" s="1138"/>
      <c r="J90" s="1138"/>
      <c r="K90" s="1138"/>
    </row>
    <row r="91" spans="1:11">
      <c r="A91" s="37"/>
      <c r="B91" s="37"/>
      <c r="C91" s="37"/>
      <c r="D91" s="37"/>
      <c r="E91" s="37"/>
      <c r="F91" s="37"/>
      <c r="G91" s="37"/>
      <c r="H91" s="37"/>
      <c r="I91" s="37"/>
      <c r="J91" s="37"/>
      <c r="K91" s="37"/>
    </row>
    <row r="92" spans="1:11">
      <c r="A92" s="37"/>
      <c r="B92" s="37"/>
      <c r="C92" s="37"/>
      <c r="D92" s="37"/>
      <c r="E92" s="37"/>
      <c r="F92" s="37"/>
      <c r="G92" s="37"/>
      <c r="H92" s="37"/>
      <c r="I92" s="37"/>
      <c r="J92" s="37"/>
      <c r="K92" s="37"/>
    </row>
  </sheetData>
  <mergeCells count="62">
    <mergeCell ref="A90:E90"/>
    <mergeCell ref="F90:G90"/>
    <mergeCell ref="H90:K90"/>
    <mergeCell ref="A21:K23"/>
    <mergeCell ref="A25:K27"/>
    <mergeCell ref="A73:E74"/>
    <mergeCell ref="A88:E88"/>
    <mergeCell ref="F88:G88"/>
    <mergeCell ref="H88:K88"/>
    <mergeCell ref="A89:E89"/>
    <mergeCell ref="F89:G89"/>
    <mergeCell ref="H89:K89"/>
    <mergeCell ref="A86:E86"/>
    <mergeCell ref="F86:G86"/>
    <mergeCell ref="H86:K86"/>
    <mergeCell ref="A87:E87"/>
    <mergeCell ref="F87:G87"/>
    <mergeCell ref="H87:K87"/>
    <mergeCell ref="A84:E84"/>
    <mergeCell ref="F84:G84"/>
    <mergeCell ref="H84:K84"/>
    <mergeCell ref="A85:E85"/>
    <mergeCell ref="F85:G85"/>
    <mergeCell ref="H85:K85"/>
    <mergeCell ref="A80:E80"/>
    <mergeCell ref="F80:G80"/>
    <mergeCell ref="H80:K80"/>
    <mergeCell ref="F82:G82"/>
    <mergeCell ref="F83:G83"/>
    <mergeCell ref="A78:E78"/>
    <mergeCell ref="F78:G78"/>
    <mergeCell ref="H78:K78"/>
    <mergeCell ref="A79:E79"/>
    <mergeCell ref="F79:G79"/>
    <mergeCell ref="H79:K79"/>
    <mergeCell ref="A76:E76"/>
    <mergeCell ref="F76:G76"/>
    <mergeCell ref="H76:K76"/>
    <mergeCell ref="A77:E77"/>
    <mergeCell ref="F77:G77"/>
    <mergeCell ref="H77:K77"/>
    <mergeCell ref="F74:G74"/>
    <mergeCell ref="H74:K74"/>
    <mergeCell ref="A75:E75"/>
    <mergeCell ref="F75:G75"/>
    <mergeCell ref="H75:K75"/>
    <mergeCell ref="E67:K67"/>
    <mergeCell ref="A72:E72"/>
    <mergeCell ref="F72:G72"/>
    <mergeCell ref="H72:K72"/>
    <mergeCell ref="F73:G73"/>
    <mergeCell ref="H73:K73"/>
    <mergeCell ref="E13:K13"/>
    <mergeCell ref="E18:K18"/>
    <mergeCell ref="A60:K60"/>
    <mergeCell ref="E63:K63"/>
    <mergeCell ref="E65:F65"/>
    <mergeCell ref="C1:K1"/>
    <mergeCell ref="C2:K2"/>
    <mergeCell ref="C3:K3"/>
    <mergeCell ref="A5:K5"/>
    <mergeCell ref="A6:K6"/>
  </mergeCells>
  <hyperlinks>
    <hyperlink ref="L55" location="Input!A72" display="balik ke input" xr:uid="{00000000-0004-0000-1600-000000000000}"/>
    <hyperlink ref="L6" location="Input!A72" display="balik ke input" xr:uid="{00000000-0004-0000-1600-000001000000}"/>
  </hyperlinks>
  <printOptions horizontalCentered="1"/>
  <pageMargins left="0.78740157480314998" right="0.55118110236220497" top="0.39370078740157499" bottom="0.78740157480314998" header="0.196850393700787" footer="0.196850393700787"/>
  <pageSetup paperSize="9" orientation="portrait" horizontalDpi="200" verticalDpi="300" r:id="rId1"/>
  <rowBreaks count="1" manualBreakCount="1">
    <brk id="53" max="10" man="1"/>
  </rowBreaks>
  <colBreaks count="1" manualBreakCount="1">
    <brk id="11" max="71"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tabColor rgb="FF00B0F0"/>
  </sheetPr>
  <dimension ref="A1:L52"/>
  <sheetViews>
    <sheetView view="pageBreakPreview" topLeftCell="A4" zoomScale="115" zoomScaleNormal="100" workbookViewId="0">
      <selection activeCell="H12" sqref="H12"/>
    </sheetView>
  </sheetViews>
  <sheetFormatPr defaultColWidth="9" defaultRowHeight="14.25"/>
  <cols>
    <col min="1" max="1" width="4.53125" style="18" customWidth="1"/>
    <col min="2" max="2" width="5.796875" style="18" customWidth="1"/>
    <col min="3" max="3" width="2" style="18" customWidth="1"/>
    <col min="4" max="4" width="11.46484375" style="18" customWidth="1"/>
    <col min="5" max="5" width="1.86328125" style="18" customWidth="1"/>
    <col min="6" max="6" width="18.19921875" style="18" customWidth="1"/>
    <col min="7" max="7" width="1.53125" style="18" customWidth="1"/>
    <col min="8" max="8" width="24.53125" style="18" customWidth="1"/>
    <col min="9" max="9" width="7" style="18" customWidth="1"/>
    <col min="10" max="10" width="12.86328125" style="18" customWidth="1"/>
    <col min="11" max="11" width="9" style="18" customWidth="1"/>
    <col min="12" max="257" width="9" style="18"/>
    <col min="258" max="258" width="9.86328125" style="18" customWidth="1"/>
    <col min="259" max="259" width="2" style="18" customWidth="1"/>
    <col min="260" max="260" width="12.53125" style="18" customWidth="1"/>
    <col min="261" max="261" width="1.86328125" style="18" customWidth="1"/>
    <col min="262" max="262" width="2" style="18" customWidth="1"/>
    <col min="263" max="263" width="16" style="18" customWidth="1"/>
    <col min="264" max="264" width="26" style="18" customWidth="1"/>
    <col min="265" max="265" width="9" style="18"/>
    <col min="266" max="266" width="9" style="18" customWidth="1"/>
    <col min="267" max="513" width="9" style="18"/>
    <col min="514" max="514" width="9.86328125" style="18" customWidth="1"/>
    <col min="515" max="515" width="2" style="18" customWidth="1"/>
    <col min="516" max="516" width="12.53125" style="18" customWidth="1"/>
    <col min="517" max="517" width="1.86328125" style="18" customWidth="1"/>
    <col min="518" max="518" width="2" style="18" customWidth="1"/>
    <col min="519" max="519" width="16" style="18" customWidth="1"/>
    <col min="520" max="520" width="26" style="18" customWidth="1"/>
    <col min="521" max="521" width="9" style="18"/>
    <col min="522" max="522" width="9" style="18" customWidth="1"/>
    <col min="523" max="769" width="9" style="18"/>
    <col min="770" max="770" width="9.86328125" style="18" customWidth="1"/>
    <col min="771" max="771" width="2" style="18" customWidth="1"/>
    <col min="772" max="772" width="12.53125" style="18" customWidth="1"/>
    <col min="773" max="773" width="1.86328125" style="18" customWidth="1"/>
    <col min="774" max="774" width="2" style="18" customWidth="1"/>
    <col min="775" max="775" width="16" style="18" customWidth="1"/>
    <col min="776" max="776" width="26" style="18" customWidth="1"/>
    <col min="777" max="777" width="9" style="18"/>
    <col min="778" max="778" width="9" style="18" customWidth="1"/>
    <col min="779" max="1025" width="9" style="18"/>
    <col min="1026" max="1026" width="9.86328125" style="18" customWidth="1"/>
    <col min="1027" max="1027" width="2" style="18" customWidth="1"/>
    <col min="1028" max="1028" width="12.53125" style="18" customWidth="1"/>
    <col min="1029" max="1029" width="1.86328125" style="18" customWidth="1"/>
    <col min="1030" max="1030" width="2" style="18" customWidth="1"/>
    <col min="1031" max="1031" width="16" style="18" customWidth="1"/>
    <col min="1032" max="1032" width="26" style="18" customWidth="1"/>
    <col min="1033" max="1033" width="9" style="18"/>
    <col min="1034" max="1034" width="9" style="18" customWidth="1"/>
    <col min="1035" max="1281" width="9" style="18"/>
    <col min="1282" max="1282" width="9.86328125" style="18" customWidth="1"/>
    <col min="1283" max="1283" width="2" style="18" customWidth="1"/>
    <col min="1284" max="1284" width="12.53125" style="18" customWidth="1"/>
    <col min="1285" max="1285" width="1.86328125" style="18" customWidth="1"/>
    <col min="1286" max="1286" width="2" style="18" customWidth="1"/>
    <col min="1287" max="1287" width="16" style="18" customWidth="1"/>
    <col min="1288" max="1288" width="26" style="18" customWidth="1"/>
    <col min="1289" max="1289" width="9" style="18"/>
    <col min="1290" max="1290" width="9" style="18" customWidth="1"/>
    <col min="1291" max="1537" width="9" style="18"/>
    <col min="1538" max="1538" width="9.86328125" style="18" customWidth="1"/>
    <col min="1539" max="1539" width="2" style="18" customWidth="1"/>
    <col min="1540" max="1540" width="12.53125" style="18" customWidth="1"/>
    <col min="1541" max="1541" width="1.86328125" style="18" customWidth="1"/>
    <col min="1542" max="1542" width="2" style="18" customWidth="1"/>
    <col min="1543" max="1543" width="16" style="18" customWidth="1"/>
    <col min="1544" max="1544" width="26" style="18" customWidth="1"/>
    <col min="1545" max="1545" width="9" style="18"/>
    <col min="1546" max="1546" width="9" style="18" customWidth="1"/>
    <col min="1547" max="1793" width="9" style="18"/>
    <col min="1794" max="1794" width="9.86328125" style="18" customWidth="1"/>
    <col min="1795" max="1795" width="2" style="18" customWidth="1"/>
    <col min="1796" max="1796" width="12.53125" style="18" customWidth="1"/>
    <col min="1797" max="1797" width="1.86328125" style="18" customWidth="1"/>
    <col min="1798" max="1798" width="2" style="18" customWidth="1"/>
    <col min="1799" max="1799" width="16" style="18" customWidth="1"/>
    <col min="1800" max="1800" width="26" style="18" customWidth="1"/>
    <col min="1801" max="1801" width="9" style="18"/>
    <col min="1802" max="1802" width="9" style="18" customWidth="1"/>
    <col min="1803" max="2049" width="9" style="18"/>
    <col min="2050" max="2050" width="9.86328125" style="18" customWidth="1"/>
    <col min="2051" max="2051" width="2" style="18" customWidth="1"/>
    <col min="2052" max="2052" width="12.53125" style="18" customWidth="1"/>
    <col min="2053" max="2053" width="1.86328125" style="18" customWidth="1"/>
    <col min="2054" max="2054" width="2" style="18" customWidth="1"/>
    <col min="2055" max="2055" width="16" style="18" customWidth="1"/>
    <col min="2056" max="2056" width="26" style="18" customWidth="1"/>
    <col min="2057" max="2057" width="9" style="18"/>
    <col min="2058" max="2058" width="9" style="18" customWidth="1"/>
    <col min="2059" max="2305" width="9" style="18"/>
    <col min="2306" max="2306" width="9.86328125" style="18" customWidth="1"/>
    <col min="2307" max="2307" width="2" style="18" customWidth="1"/>
    <col min="2308" max="2308" width="12.53125" style="18" customWidth="1"/>
    <col min="2309" max="2309" width="1.86328125" style="18" customWidth="1"/>
    <col min="2310" max="2310" width="2" style="18" customWidth="1"/>
    <col min="2311" max="2311" width="16" style="18" customWidth="1"/>
    <col min="2312" max="2312" width="26" style="18" customWidth="1"/>
    <col min="2313" max="2313" width="9" style="18"/>
    <col min="2314" max="2314" width="9" style="18" customWidth="1"/>
    <col min="2315" max="2561" width="9" style="18"/>
    <col min="2562" max="2562" width="9.86328125" style="18" customWidth="1"/>
    <col min="2563" max="2563" width="2" style="18" customWidth="1"/>
    <col min="2564" max="2564" width="12.53125" style="18" customWidth="1"/>
    <col min="2565" max="2565" width="1.86328125" style="18" customWidth="1"/>
    <col min="2566" max="2566" width="2" style="18" customWidth="1"/>
    <col min="2567" max="2567" width="16" style="18" customWidth="1"/>
    <col min="2568" max="2568" width="26" style="18" customWidth="1"/>
    <col min="2569" max="2569" width="9" style="18"/>
    <col min="2570" max="2570" width="9" style="18" customWidth="1"/>
    <col min="2571" max="2817" width="9" style="18"/>
    <col min="2818" max="2818" width="9.86328125" style="18" customWidth="1"/>
    <col min="2819" max="2819" width="2" style="18" customWidth="1"/>
    <col min="2820" max="2820" width="12.53125" style="18" customWidth="1"/>
    <col min="2821" max="2821" width="1.86328125" style="18" customWidth="1"/>
    <col min="2822" max="2822" width="2" style="18" customWidth="1"/>
    <col min="2823" max="2823" width="16" style="18" customWidth="1"/>
    <col min="2824" max="2824" width="26" style="18" customWidth="1"/>
    <col min="2825" max="2825" width="9" style="18"/>
    <col min="2826" max="2826" width="9" style="18" customWidth="1"/>
    <col min="2827" max="3073" width="9" style="18"/>
    <col min="3074" max="3074" width="9.86328125" style="18" customWidth="1"/>
    <col min="3075" max="3075" width="2" style="18" customWidth="1"/>
    <col min="3076" max="3076" width="12.53125" style="18" customWidth="1"/>
    <col min="3077" max="3077" width="1.86328125" style="18" customWidth="1"/>
    <col min="3078" max="3078" width="2" style="18" customWidth="1"/>
    <col min="3079" max="3079" width="16" style="18" customWidth="1"/>
    <col min="3080" max="3080" width="26" style="18" customWidth="1"/>
    <col min="3081" max="3081" width="9" style="18"/>
    <col min="3082" max="3082" width="9" style="18" customWidth="1"/>
    <col min="3083" max="3329" width="9" style="18"/>
    <col min="3330" max="3330" width="9.86328125" style="18" customWidth="1"/>
    <col min="3331" max="3331" width="2" style="18" customWidth="1"/>
    <col min="3332" max="3332" width="12.53125" style="18" customWidth="1"/>
    <col min="3333" max="3333" width="1.86328125" style="18" customWidth="1"/>
    <col min="3334" max="3334" width="2" style="18" customWidth="1"/>
    <col min="3335" max="3335" width="16" style="18" customWidth="1"/>
    <col min="3336" max="3336" width="26" style="18" customWidth="1"/>
    <col min="3337" max="3337" width="9" style="18"/>
    <col min="3338" max="3338" width="9" style="18" customWidth="1"/>
    <col min="3339" max="3585" width="9" style="18"/>
    <col min="3586" max="3586" width="9.86328125" style="18" customWidth="1"/>
    <col min="3587" max="3587" width="2" style="18" customWidth="1"/>
    <col min="3588" max="3588" width="12.53125" style="18" customWidth="1"/>
    <col min="3589" max="3589" width="1.86328125" style="18" customWidth="1"/>
    <col min="3590" max="3590" width="2" style="18" customWidth="1"/>
    <col min="3591" max="3591" width="16" style="18" customWidth="1"/>
    <col min="3592" max="3592" width="26" style="18" customWidth="1"/>
    <col min="3593" max="3593" width="9" style="18"/>
    <col min="3594" max="3594" width="9" style="18" customWidth="1"/>
    <col min="3595" max="3841" width="9" style="18"/>
    <col min="3842" max="3842" width="9.86328125" style="18" customWidth="1"/>
    <col min="3843" max="3843" width="2" style="18" customWidth="1"/>
    <col min="3844" max="3844" width="12.53125" style="18" customWidth="1"/>
    <col min="3845" max="3845" width="1.86328125" style="18" customWidth="1"/>
    <col min="3846" max="3846" width="2" style="18" customWidth="1"/>
    <col min="3847" max="3847" width="16" style="18" customWidth="1"/>
    <col min="3848" max="3848" width="26" style="18" customWidth="1"/>
    <col min="3849" max="3849" width="9" style="18"/>
    <col min="3850" max="3850" width="9" style="18" customWidth="1"/>
    <col min="3851" max="4097" width="9" style="18"/>
    <col min="4098" max="4098" width="9.86328125" style="18" customWidth="1"/>
    <col min="4099" max="4099" width="2" style="18" customWidth="1"/>
    <col min="4100" max="4100" width="12.53125" style="18" customWidth="1"/>
    <col min="4101" max="4101" width="1.86328125" style="18" customWidth="1"/>
    <col min="4102" max="4102" width="2" style="18" customWidth="1"/>
    <col min="4103" max="4103" width="16" style="18" customWidth="1"/>
    <col min="4104" max="4104" width="26" style="18" customWidth="1"/>
    <col min="4105" max="4105" width="9" style="18"/>
    <col min="4106" max="4106" width="9" style="18" customWidth="1"/>
    <col min="4107" max="4353" width="9" style="18"/>
    <col min="4354" max="4354" width="9.86328125" style="18" customWidth="1"/>
    <col min="4355" max="4355" width="2" style="18" customWidth="1"/>
    <col min="4356" max="4356" width="12.53125" style="18" customWidth="1"/>
    <col min="4357" max="4357" width="1.86328125" style="18" customWidth="1"/>
    <col min="4358" max="4358" width="2" style="18" customWidth="1"/>
    <col min="4359" max="4359" width="16" style="18" customWidth="1"/>
    <col min="4360" max="4360" width="26" style="18" customWidth="1"/>
    <col min="4361" max="4361" width="9" style="18"/>
    <col min="4362" max="4362" width="9" style="18" customWidth="1"/>
    <col min="4363" max="4609" width="9" style="18"/>
    <col min="4610" max="4610" width="9.86328125" style="18" customWidth="1"/>
    <col min="4611" max="4611" width="2" style="18" customWidth="1"/>
    <col min="4612" max="4612" width="12.53125" style="18" customWidth="1"/>
    <col min="4613" max="4613" width="1.86328125" style="18" customWidth="1"/>
    <col min="4614" max="4614" width="2" style="18" customWidth="1"/>
    <col min="4615" max="4615" width="16" style="18" customWidth="1"/>
    <col min="4616" max="4616" width="26" style="18" customWidth="1"/>
    <col min="4617" max="4617" width="9" style="18"/>
    <col min="4618" max="4618" width="9" style="18" customWidth="1"/>
    <col min="4619" max="4865" width="9" style="18"/>
    <col min="4866" max="4866" width="9.86328125" style="18" customWidth="1"/>
    <col min="4867" max="4867" width="2" style="18" customWidth="1"/>
    <col min="4868" max="4868" width="12.53125" style="18" customWidth="1"/>
    <col min="4869" max="4869" width="1.86328125" style="18" customWidth="1"/>
    <col min="4870" max="4870" width="2" style="18" customWidth="1"/>
    <col min="4871" max="4871" width="16" style="18" customWidth="1"/>
    <col min="4872" max="4872" width="26" style="18" customWidth="1"/>
    <col min="4873" max="4873" width="9" style="18"/>
    <col min="4874" max="4874" width="9" style="18" customWidth="1"/>
    <col min="4875" max="5121" width="9" style="18"/>
    <col min="5122" max="5122" width="9.86328125" style="18" customWidth="1"/>
    <col min="5123" max="5123" width="2" style="18" customWidth="1"/>
    <col min="5124" max="5124" width="12.53125" style="18" customWidth="1"/>
    <col min="5125" max="5125" width="1.86328125" style="18" customWidth="1"/>
    <col min="5126" max="5126" width="2" style="18" customWidth="1"/>
    <col min="5127" max="5127" width="16" style="18" customWidth="1"/>
    <col min="5128" max="5128" width="26" style="18" customWidth="1"/>
    <col min="5129" max="5129" width="9" style="18"/>
    <col min="5130" max="5130" width="9" style="18" customWidth="1"/>
    <col min="5131" max="5377" width="9" style="18"/>
    <col min="5378" max="5378" width="9.86328125" style="18" customWidth="1"/>
    <col min="5379" max="5379" width="2" style="18" customWidth="1"/>
    <col min="5380" max="5380" width="12.53125" style="18" customWidth="1"/>
    <col min="5381" max="5381" width="1.86328125" style="18" customWidth="1"/>
    <col min="5382" max="5382" width="2" style="18" customWidth="1"/>
    <col min="5383" max="5383" width="16" style="18" customWidth="1"/>
    <col min="5384" max="5384" width="26" style="18" customWidth="1"/>
    <col min="5385" max="5385" width="9" style="18"/>
    <col min="5386" max="5386" width="9" style="18" customWidth="1"/>
    <col min="5387" max="5633" width="9" style="18"/>
    <col min="5634" max="5634" width="9.86328125" style="18" customWidth="1"/>
    <col min="5635" max="5635" width="2" style="18" customWidth="1"/>
    <col min="5636" max="5636" width="12.53125" style="18" customWidth="1"/>
    <col min="5637" max="5637" width="1.86328125" style="18" customWidth="1"/>
    <col min="5638" max="5638" width="2" style="18" customWidth="1"/>
    <col min="5639" max="5639" width="16" style="18" customWidth="1"/>
    <col min="5640" max="5640" width="26" style="18" customWidth="1"/>
    <col min="5641" max="5641" width="9" style="18"/>
    <col min="5642" max="5642" width="9" style="18" customWidth="1"/>
    <col min="5643" max="5889" width="9" style="18"/>
    <col min="5890" max="5890" width="9.86328125" style="18" customWidth="1"/>
    <col min="5891" max="5891" width="2" style="18" customWidth="1"/>
    <col min="5892" max="5892" width="12.53125" style="18" customWidth="1"/>
    <col min="5893" max="5893" width="1.86328125" style="18" customWidth="1"/>
    <col min="5894" max="5894" width="2" style="18" customWidth="1"/>
    <col min="5895" max="5895" width="16" style="18" customWidth="1"/>
    <col min="5896" max="5896" width="26" style="18" customWidth="1"/>
    <col min="5897" max="5897" width="9" style="18"/>
    <col min="5898" max="5898" width="9" style="18" customWidth="1"/>
    <col min="5899" max="6145" width="9" style="18"/>
    <col min="6146" max="6146" width="9.86328125" style="18" customWidth="1"/>
    <col min="6147" max="6147" width="2" style="18" customWidth="1"/>
    <col min="6148" max="6148" width="12.53125" style="18" customWidth="1"/>
    <col min="6149" max="6149" width="1.86328125" style="18" customWidth="1"/>
    <col min="6150" max="6150" width="2" style="18" customWidth="1"/>
    <col min="6151" max="6151" width="16" style="18" customWidth="1"/>
    <col min="6152" max="6152" width="26" style="18" customWidth="1"/>
    <col min="6153" max="6153" width="9" style="18"/>
    <col min="6154" max="6154" width="9" style="18" customWidth="1"/>
    <col min="6155" max="6401" width="9" style="18"/>
    <col min="6402" max="6402" width="9.86328125" style="18" customWidth="1"/>
    <col min="6403" max="6403" width="2" style="18" customWidth="1"/>
    <col min="6404" max="6404" width="12.53125" style="18" customWidth="1"/>
    <col min="6405" max="6405" width="1.86328125" style="18" customWidth="1"/>
    <col min="6406" max="6406" width="2" style="18" customWidth="1"/>
    <col min="6407" max="6407" width="16" style="18" customWidth="1"/>
    <col min="6408" max="6408" width="26" style="18" customWidth="1"/>
    <col min="6409" max="6409" width="9" style="18"/>
    <col min="6410" max="6410" width="9" style="18" customWidth="1"/>
    <col min="6411" max="6657" width="9" style="18"/>
    <col min="6658" max="6658" width="9.86328125" style="18" customWidth="1"/>
    <col min="6659" max="6659" width="2" style="18" customWidth="1"/>
    <col min="6660" max="6660" width="12.53125" style="18" customWidth="1"/>
    <col min="6661" max="6661" width="1.86328125" style="18" customWidth="1"/>
    <col min="6662" max="6662" width="2" style="18" customWidth="1"/>
    <col min="6663" max="6663" width="16" style="18" customWidth="1"/>
    <col min="6664" max="6664" width="26" style="18" customWidth="1"/>
    <col min="6665" max="6665" width="9" style="18"/>
    <col min="6666" max="6666" width="9" style="18" customWidth="1"/>
    <col min="6667" max="6913" width="9" style="18"/>
    <col min="6914" max="6914" width="9.86328125" style="18" customWidth="1"/>
    <col min="6915" max="6915" width="2" style="18" customWidth="1"/>
    <col min="6916" max="6916" width="12.53125" style="18" customWidth="1"/>
    <col min="6917" max="6917" width="1.86328125" style="18" customWidth="1"/>
    <col min="6918" max="6918" width="2" style="18" customWidth="1"/>
    <col min="6919" max="6919" width="16" style="18" customWidth="1"/>
    <col min="6920" max="6920" width="26" style="18" customWidth="1"/>
    <col min="6921" max="6921" width="9" style="18"/>
    <col min="6922" max="6922" width="9" style="18" customWidth="1"/>
    <col min="6923" max="7169" width="9" style="18"/>
    <col min="7170" max="7170" width="9.86328125" style="18" customWidth="1"/>
    <col min="7171" max="7171" width="2" style="18" customWidth="1"/>
    <col min="7172" max="7172" width="12.53125" style="18" customWidth="1"/>
    <col min="7173" max="7173" width="1.86328125" style="18" customWidth="1"/>
    <col min="7174" max="7174" width="2" style="18" customWidth="1"/>
    <col min="7175" max="7175" width="16" style="18" customWidth="1"/>
    <col min="7176" max="7176" width="26" style="18" customWidth="1"/>
    <col min="7177" max="7177" width="9" style="18"/>
    <col min="7178" max="7178" width="9" style="18" customWidth="1"/>
    <col min="7179" max="7425" width="9" style="18"/>
    <col min="7426" max="7426" width="9.86328125" style="18" customWidth="1"/>
    <col min="7427" max="7427" width="2" style="18" customWidth="1"/>
    <col min="7428" max="7428" width="12.53125" style="18" customWidth="1"/>
    <col min="7429" max="7429" width="1.86328125" style="18" customWidth="1"/>
    <col min="7430" max="7430" width="2" style="18" customWidth="1"/>
    <col min="7431" max="7431" width="16" style="18" customWidth="1"/>
    <col min="7432" max="7432" width="26" style="18" customWidth="1"/>
    <col min="7433" max="7433" width="9" style="18"/>
    <col min="7434" max="7434" width="9" style="18" customWidth="1"/>
    <col min="7435" max="7681" width="9" style="18"/>
    <col min="7682" max="7682" width="9.86328125" style="18" customWidth="1"/>
    <col min="7683" max="7683" width="2" style="18" customWidth="1"/>
    <col min="7684" max="7684" width="12.53125" style="18" customWidth="1"/>
    <col min="7685" max="7685" width="1.86328125" style="18" customWidth="1"/>
    <col min="7686" max="7686" width="2" style="18" customWidth="1"/>
    <col min="7687" max="7687" width="16" style="18" customWidth="1"/>
    <col min="7688" max="7688" width="26" style="18" customWidth="1"/>
    <col min="7689" max="7689" width="9" style="18"/>
    <col min="7690" max="7690" width="9" style="18" customWidth="1"/>
    <col min="7691" max="7937" width="9" style="18"/>
    <col min="7938" max="7938" width="9.86328125" style="18" customWidth="1"/>
    <col min="7939" max="7939" width="2" style="18" customWidth="1"/>
    <col min="7940" max="7940" width="12.53125" style="18" customWidth="1"/>
    <col min="7941" max="7941" width="1.86328125" style="18" customWidth="1"/>
    <col min="7942" max="7942" width="2" style="18" customWidth="1"/>
    <col min="7943" max="7943" width="16" style="18" customWidth="1"/>
    <col min="7944" max="7944" width="26" style="18" customWidth="1"/>
    <col min="7945" max="7945" width="9" style="18"/>
    <col min="7946" max="7946" width="9" style="18" customWidth="1"/>
    <col min="7947" max="8193" width="9" style="18"/>
    <col min="8194" max="8194" width="9.86328125" style="18" customWidth="1"/>
    <col min="8195" max="8195" width="2" style="18" customWidth="1"/>
    <col min="8196" max="8196" width="12.53125" style="18" customWidth="1"/>
    <col min="8197" max="8197" width="1.86328125" style="18" customWidth="1"/>
    <col min="8198" max="8198" width="2" style="18" customWidth="1"/>
    <col min="8199" max="8199" width="16" style="18" customWidth="1"/>
    <col min="8200" max="8200" width="26" style="18" customWidth="1"/>
    <col min="8201" max="8201" width="9" style="18"/>
    <col min="8202" max="8202" width="9" style="18" customWidth="1"/>
    <col min="8203" max="8449" width="9" style="18"/>
    <col min="8450" max="8450" width="9.86328125" style="18" customWidth="1"/>
    <col min="8451" max="8451" width="2" style="18" customWidth="1"/>
    <col min="8452" max="8452" width="12.53125" style="18" customWidth="1"/>
    <col min="8453" max="8453" width="1.86328125" style="18" customWidth="1"/>
    <col min="8454" max="8454" width="2" style="18" customWidth="1"/>
    <col min="8455" max="8455" width="16" style="18" customWidth="1"/>
    <col min="8456" max="8456" width="26" style="18" customWidth="1"/>
    <col min="8457" max="8457" width="9" style="18"/>
    <col min="8458" max="8458" width="9" style="18" customWidth="1"/>
    <col min="8459" max="8705" width="9" style="18"/>
    <col min="8706" max="8706" width="9.86328125" style="18" customWidth="1"/>
    <col min="8707" max="8707" width="2" style="18" customWidth="1"/>
    <col min="8708" max="8708" width="12.53125" style="18" customWidth="1"/>
    <col min="8709" max="8709" width="1.86328125" style="18" customWidth="1"/>
    <col min="8710" max="8710" width="2" style="18" customWidth="1"/>
    <col min="8711" max="8711" width="16" style="18" customWidth="1"/>
    <col min="8712" max="8712" width="26" style="18" customWidth="1"/>
    <col min="8713" max="8713" width="9" style="18"/>
    <col min="8714" max="8714" width="9" style="18" customWidth="1"/>
    <col min="8715" max="8961" width="9" style="18"/>
    <col min="8962" max="8962" width="9.86328125" style="18" customWidth="1"/>
    <col min="8963" max="8963" width="2" style="18" customWidth="1"/>
    <col min="8964" max="8964" width="12.53125" style="18" customWidth="1"/>
    <col min="8965" max="8965" width="1.86328125" style="18" customWidth="1"/>
    <col min="8966" max="8966" width="2" style="18" customWidth="1"/>
    <col min="8967" max="8967" width="16" style="18" customWidth="1"/>
    <col min="8968" max="8968" width="26" style="18" customWidth="1"/>
    <col min="8969" max="8969" width="9" style="18"/>
    <col min="8970" max="8970" width="9" style="18" customWidth="1"/>
    <col min="8971" max="9217" width="9" style="18"/>
    <col min="9218" max="9218" width="9.86328125" style="18" customWidth="1"/>
    <col min="9219" max="9219" width="2" style="18" customWidth="1"/>
    <col min="9220" max="9220" width="12.53125" style="18" customWidth="1"/>
    <col min="9221" max="9221" width="1.86328125" style="18" customWidth="1"/>
    <col min="9222" max="9222" width="2" style="18" customWidth="1"/>
    <col min="9223" max="9223" width="16" style="18" customWidth="1"/>
    <col min="9224" max="9224" width="26" style="18" customWidth="1"/>
    <col min="9225" max="9225" width="9" style="18"/>
    <col min="9226" max="9226" width="9" style="18" customWidth="1"/>
    <col min="9227" max="9473" width="9" style="18"/>
    <col min="9474" max="9474" width="9.86328125" style="18" customWidth="1"/>
    <col min="9475" max="9475" width="2" style="18" customWidth="1"/>
    <col min="9476" max="9476" width="12.53125" style="18" customWidth="1"/>
    <col min="9477" max="9477" width="1.86328125" style="18" customWidth="1"/>
    <col min="9478" max="9478" width="2" style="18" customWidth="1"/>
    <col min="9479" max="9479" width="16" style="18" customWidth="1"/>
    <col min="9480" max="9480" width="26" style="18" customWidth="1"/>
    <col min="9481" max="9481" width="9" style="18"/>
    <col min="9482" max="9482" width="9" style="18" customWidth="1"/>
    <col min="9483" max="9729" width="9" style="18"/>
    <col min="9730" max="9730" width="9.86328125" style="18" customWidth="1"/>
    <col min="9731" max="9731" width="2" style="18" customWidth="1"/>
    <col min="9732" max="9732" width="12.53125" style="18" customWidth="1"/>
    <col min="9733" max="9733" width="1.86328125" style="18" customWidth="1"/>
    <col min="9734" max="9734" width="2" style="18" customWidth="1"/>
    <col min="9735" max="9735" width="16" style="18" customWidth="1"/>
    <col min="9736" max="9736" width="26" style="18" customWidth="1"/>
    <col min="9737" max="9737" width="9" style="18"/>
    <col min="9738" max="9738" width="9" style="18" customWidth="1"/>
    <col min="9739" max="9985" width="9" style="18"/>
    <col min="9986" max="9986" width="9.86328125" style="18" customWidth="1"/>
    <col min="9987" max="9987" width="2" style="18" customWidth="1"/>
    <col min="9988" max="9988" width="12.53125" style="18" customWidth="1"/>
    <col min="9989" max="9989" width="1.86328125" style="18" customWidth="1"/>
    <col min="9990" max="9990" width="2" style="18" customWidth="1"/>
    <col min="9991" max="9991" width="16" style="18" customWidth="1"/>
    <col min="9992" max="9992" width="26" style="18" customWidth="1"/>
    <col min="9993" max="9993" width="9" style="18"/>
    <col min="9994" max="9994" width="9" style="18" customWidth="1"/>
    <col min="9995" max="10241" width="9" style="18"/>
    <col min="10242" max="10242" width="9.86328125" style="18" customWidth="1"/>
    <col min="10243" max="10243" width="2" style="18" customWidth="1"/>
    <col min="10244" max="10244" width="12.53125" style="18" customWidth="1"/>
    <col min="10245" max="10245" width="1.86328125" style="18" customWidth="1"/>
    <col min="10246" max="10246" width="2" style="18" customWidth="1"/>
    <col min="10247" max="10247" width="16" style="18" customWidth="1"/>
    <col min="10248" max="10248" width="26" style="18" customWidth="1"/>
    <col min="10249" max="10249" width="9" style="18"/>
    <col min="10250" max="10250" width="9" style="18" customWidth="1"/>
    <col min="10251" max="10497" width="9" style="18"/>
    <col min="10498" max="10498" width="9.86328125" style="18" customWidth="1"/>
    <col min="10499" max="10499" width="2" style="18" customWidth="1"/>
    <col min="10500" max="10500" width="12.53125" style="18" customWidth="1"/>
    <col min="10501" max="10501" width="1.86328125" style="18" customWidth="1"/>
    <col min="10502" max="10502" width="2" style="18" customWidth="1"/>
    <col min="10503" max="10503" width="16" style="18" customWidth="1"/>
    <col min="10504" max="10504" width="26" style="18" customWidth="1"/>
    <col min="10505" max="10505" width="9" style="18"/>
    <col min="10506" max="10506" width="9" style="18" customWidth="1"/>
    <col min="10507" max="10753" width="9" style="18"/>
    <col min="10754" max="10754" width="9.86328125" style="18" customWidth="1"/>
    <col min="10755" max="10755" width="2" style="18" customWidth="1"/>
    <col min="10756" max="10756" width="12.53125" style="18" customWidth="1"/>
    <col min="10757" max="10757" width="1.86328125" style="18" customWidth="1"/>
    <col min="10758" max="10758" width="2" style="18" customWidth="1"/>
    <col min="10759" max="10759" width="16" style="18" customWidth="1"/>
    <col min="10760" max="10760" width="26" style="18" customWidth="1"/>
    <col min="10761" max="10761" width="9" style="18"/>
    <col min="10762" max="10762" width="9" style="18" customWidth="1"/>
    <col min="10763" max="11009" width="9" style="18"/>
    <col min="11010" max="11010" width="9.86328125" style="18" customWidth="1"/>
    <col min="11011" max="11011" width="2" style="18" customWidth="1"/>
    <col min="11012" max="11012" width="12.53125" style="18" customWidth="1"/>
    <col min="11013" max="11013" width="1.86328125" style="18" customWidth="1"/>
    <col min="11014" max="11014" width="2" style="18" customWidth="1"/>
    <col min="11015" max="11015" width="16" style="18" customWidth="1"/>
    <col min="11016" max="11016" width="26" style="18" customWidth="1"/>
    <col min="11017" max="11017" width="9" style="18"/>
    <col min="11018" max="11018" width="9" style="18" customWidth="1"/>
    <col min="11019" max="11265" width="9" style="18"/>
    <col min="11266" max="11266" width="9.86328125" style="18" customWidth="1"/>
    <col min="11267" max="11267" width="2" style="18" customWidth="1"/>
    <col min="11268" max="11268" width="12.53125" style="18" customWidth="1"/>
    <col min="11269" max="11269" width="1.86328125" style="18" customWidth="1"/>
    <col min="11270" max="11270" width="2" style="18" customWidth="1"/>
    <col min="11271" max="11271" width="16" style="18" customWidth="1"/>
    <col min="11272" max="11272" width="26" style="18" customWidth="1"/>
    <col min="11273" max="11273" width="9" style="18"/>
    <col min="11274" max="11274" width="9" style="18" customWidth="1"/>
    <col min="11275" max="11521" width="9" style="18"/>
    <col min="11522" max="11522" width="9.86328125" style="18" customWidth="1"/>
    <col min="11523" max="11523" width="2" style="18" customWidth="1"/>
    <col min="11524" max="11524" width="12.53125" style="18" customWidth="1"/>
    <col min="11525" max="11525" width="1.86328125" style="18" customWidth="1"/>
    <col min="11526" max="11526" width="2" style="18" customWidth="1"/>
    <col min="11527" max="11527" width="16" style="18" customWidth="1"/>
    <col min="11528" max="11528" width="26" style="18" customWidth="1"/>
    <col min="11529" max="11529" width="9" style="18"/>
    <col min="11530" max="11530" width="9" style="18" customWidth="1"/>
    <col min="11531" max="11777" width="9" style="18"/>
    <col min="11778" max="11778" width="9.86328125" style="18" customWidth="1"/>
    <col min="11779" max="11779" width="2" style="18" customWidth="1"/>
    <col min="11780" max="11780" width="12.53125" style="18" customWidth="1"/>
    <col min="11781" max="11781" width="1.86328125" style="18" customWidth="1"/>
    <col min="11782" max="11782" width="2" style="18" customWidth="1"/>
    <col min="11783" max="11783" width="16" style="18" customWidth="1"/>
    <col min="11784" max="11784" width="26" style="18" customWidth="1"/>
    <col min="11785" max="11785" width="9" style="18"/>
    <col min="11786" max="11786" width="9" style="18" customWidth="1"/>
    <col min="11787" max="12033" width="9" style="18"/>
    <col min="12034" max="12034" width="9.86328125" style="18" customWidth="1"/>
    <col min="12035" max="12035" width="2" style="18" customWidth="1"/>
    <col min="12036" max="12036" width="12.53125" style="18" customWidth="1"/>
    <col min="12037" max="12037" width="1.86328125" style="18" customWidth="1"/>
    <col min="12038" max="12038" width="2" style="18" customWidth="1"/>
    <col min="12039" max="12039" width="16" style="18" customWidth="1"/>
    <col min="12040" max="12040" width="26" style="18" customWidth="1"/>
    <col min="12041" max="12041" width="9" style="18"/>
    <col min="12042" max="12042" width="9" style="18" customWidth="1"/>
    <col min="12043" max="12289" width="9" style="18"/>
    <col min="12290" max="12290" width="9.86328125" style="18" customWidth="1"/>
    <col min="12291" max="12291" width="2" style="18" customWidth="1"/>
    <col min="12292" max="12292" width="12.53125" style="18" customWidth="1"/>
    <col min="12293" max="12293" width="1.86328125" style="18" customWidth="1"/>
    <col min="12294" max="12294" width="2" style="18" customWidth="1"/>
    <col min="12295" max="12295" width="16" style="18" customWidth="1"/>
    <col min="12296" max="12296" width="26" style="18" customWidth="1"/>
    <col min="12297" max="12297" width="9" style="18"/>
    <col min="12298" max="12298" width="9" style="18" customWidth="1"/>
    <col min="12299" max="12545" width="9" style="18"/>
    <col min="12546" max="12546" width="9.86328125" style="18" customWidth="1"/>
    <col min="12547" max="12547" width="2" style="18" customWidth="1"/>
    <col min="12548" max="12548" width="12.53125" style="18" customWidth="1"/>
    <col min="12549" max="12549" width="1.86328125" style="18" customWidth="1"/>
    <col min="12550" max="12550" width="2" style="18" customWidth="1"/>
    <col min="12551" max="12551" width="16" style="18" customWidth="1"/>
    <col min="12552" max="12552" width="26" style="18" customWidth="1"/>
    <col min="12553" max="12553" width="9" style="18"/>
    <col min="12554" max="12554" width="9" style="18" customWidth="1"/>
    <col min="12555" max="12801" width="9" style="18"/>
    <col min="12802" max="12802" width="9.86328125" style="18" customWidth="1"/>
    <col min="12803" max="12803" width="2" style="18" customWidth="1"/>
    <col min="12804" max="12804" width="12.53125" style="18" customWidth="1"/>
    <col min="12805" max="12805" width="1.86328125" style="18" customWidth="1"/>
    <col min="12806" max="12806" width="2" style="18" customWidth="1"/>
    <col min="12807" max="12807" width="16" style="18" customWidth="1"/>
    <col min="12808" max="12808" width="26" style="18" customWidth="1"/>
    <col min="12809" max="12809" width="9" style="18"/>
    <col min="12810" max="12810" width="9" style="18" customWidth="1"/>
    <col min="12811" max="13057" width="9" style="18"/>
    <col min="13058" max="13058" width="9.86328125" style="18" customWidth="1"/>
    <col min="13059" max="13059" width="2" style="18" customWidth="1"/>
    <col min="13060" max="13060" width="12.53125" style="18" customWidth="1"/>
    <col min="13061" max="13061" width="1.86328125" style="18" customWidth="1"/>
    <col min="13062" max="13062" width="2" style="18" customWidth="1"/>
    <col min="13063" max="13063" width="16" style="18" customWidth="1"/>
    <col min="13064" max="13064" width="26" style="18" customWidth="1"/>
    <col min="13065" max="13065" width="9" style="18"/>
    <col min="13066" max="13066" width="9" style="18" customWidth="1"/>
    <col min="13067" max="13313" width="9" style="18"/>
    <col min="13314" max="13314" width="9.86328125" style="18" customWidth="1"/>
    <col min="13315" max="13315" width="2" style="18" customWidth="1"/>
    <col min="13316" max="13316" width="12.53125" style="18" customWidth="1"/>
    <col min="13317" max="13317" width="1.86328125" style="18" customWidth="1"/>
    <col min="13318" max="13318" width="2" style="18" customWidth="1"/>
    <col min="13319" max="13319" width="16" style="18" customWidth="1"/>
    <col min="13320" max="13320" width="26" style="18" customWidth="1"/>
    <col min="13321" max="13321" width="9" style="18"/>
    <col min="13322" max="13322" width="9" style="18" customWidth="1"/>
    <col min="13323" max="13569" width="9" style="18"/>
    <col min="13570" max="13570" width="9.86328125" style="18" customWidth="1"/>
    <col min="13571" max="13571" width="2" style="18" customWidth="1"/>
    <col min="13572" max="13572" width="12.53125" style="18" customWidth="1"/>
    <col min="13573" max="13573" width="1.86328125" style="18" customWidth="1"/>
    <col min="13574" max="13574" width="2" style="18" customWidth="1"/>
    <col min="13575" max="13575" width="16" style="18" customWidth="1"/>
    <col min="13576" max="13576" width="26" style="18" customWidth="1"/>
    <col min="13577" max="13577" width="9" style="18"/>
    <col min="13578" max="13578" width="9" style="18" customWidth="1"/>
    <col min="13579" max="13825" width="9" style="18"/>
    <col min="13826" max="13826" width="9.86328125" style="18" customWidth="1"/>
    <col min="13827" max="13827" width="2" style="18" customWidth="1"/>
    <col min="13828" max="13828" width="12.53125" style="18" customWidth="1"/>
    <col min="13829" max="13829" width="1.86328125" style="18" customWidth="1"/>
    <col min="13830" max="13830" width="2" style="18" customWidth="1"/>
    <col min="13831" max="13831" width="16" style="18" customWidth="1"/>
    <col min="13832" max="13832" width="26" style="18" customWidth="1"/>
    <col min="13833" max="13833" width="9" style="18"/>
    <col min="13834" max="13834" width="9" style="18" customWidth="1"/>
    <col min="13835" max="14081" width="9" style="18"/>
    <col min="14082" max="14082" width="9.86328125" style="18" customWidth="1"/>
    <col min="14083" max="14083" width="2" style="18" customWidth="1"/>
    <col min="14084" max="14084" width="12.53125" style="18" customWidth="1"/>
    <col min="14085" max="14085" width="1.86328125" style="18" customWidth="1"/>
    <col min="14086" max="14086" width="2" style="18" customWidth="1"/>
    <col min="14087" max="14087" width="16" style="18" customWidth="1"/>
    <col min="14088" max="14088" width="26" style="18" customWidth="1"/>
    <col min="14089" max="14089" width="9" style="18"/>
    <col min="14090" max="14090" width="9" style="18" customWidth="1"/>
    <col min="14091" max="14337" width="9" style="18"/>
    <col min="14338" max="14338" width="9.86328125" style="18" customWidth="1"/>
    <col min="14339" max="14339" width="2" style="18" customWidth="1"/>
    <col min="14340" max="14340" width="12.53125" style="18" customWidth="1"/>
    <col min="14341" max="14341" width="1.86328125" style="18" customWidth="1"/>
    <col min="14342" max="14342" width="2" style="18" customWidth="1"/>
    <col min="14343" max="14343" width="16" style="18" customWidth="1"/>
    <col min="14344" max="14344" width="26" style="18" customWidth="1"/>
    <col min="14345" max="14345" width="9" style="18"/>
    <col min="14346" max="14346" width="9" style="18" customWidth="1"/>
    <col min="14347" max="14593" width="9" style="18"/>
    <col min="14594" max="14594" width="9.86328125" style="18" customWidth="1"/>
    <col min="14595" max="14595" width="2" style="18" customWidth="1"/>
    <col min="14596" max="14596" width="12.53125" style="18" customWidth="1"/>
    <col min="14597" max="14597" width="1.86328125" style="18" customWidth="1"/>
    <col min="14598" max="14598" width="2" style="18" customWidth="1"/>
    <col min="14599" max="14599" width="16" style="18" customWidth="1"/>
    <col min="14600" max="14600" width="26" style="18" customWidth="1"/>
    <col min="14601" max="14601" width="9" style="18"/>
    <col min="14602" max="14602" width="9" style="18" customWidth="1"/>
    <col min="14603" max="14849" width="9" style="18"/>
    <col min="14850" max="14850" width="9.86328125" style="18" customWidth="1"/>
    <col min="14851" max="14851" width="2" style="18" customWidth="1"/>
    <col min="14852" max="14852" width="12.53125" style="18" customWidth="1"/>
    <col min="14853" max="14853" width="1.86328125" style="18" customWidth="1"/>
    <col min="14854" max="14854" width="2" style="18" customWidth="1"/>
    <col min="14855" max="14855" width="16" style="18" customWidth="1"/>
    <col min="14856" max="14856" width="26" style="18" customWidth="1"/>
    <col min="14857" max="14857" width="9" style="18"/>
    <col min="14858" max="14858" width="9" style="18" customWidth="1"/>
    <col min="14859" max="15105" width="9" style="18"/>
    <col min="15106" max="15106" width="9.86328125" style="18" customWidth="1"/>
    <col min="15107" max="15107" width="2" style="18" customWidth="1"/>
    <col min="15108" max="15108" width="12.53125" style="18" customWidth="1"/>
    <col min="15109" max="15109" width="1.86328125" style="18" customWidth="1"/>
    <col min="15110" max="15110" width="2" style="18" customWidth="1"/>
    <col min="15111" max="15111" width="16" style="18" customWidth="1"/>
    <col min="15112" max="15112" width="26" style="18" customWidth="1"/>
    <col min="15113" max="15113" width="9" style="18"/>
    <col min="15114" max="15114" width="9" style="18" customWidth="1"/>
    <col min="15115" max="15361" width="9" style="18"/>
    <col min="15362" max="15362" width="9.86328125" style="18" customWidth="1"/>
    <col min="15363" max="15363" width="2" style="18" customWidth="1"/>
    <col min="15364" max="15364" width="12.53125" style="18" customWidth="1"/>
    <col min="15365" max="15365" width="1.86328125" style="18" customWidth="1"/>
    <col min="15366" max="15366" width="2" style="18" customWidth="1"/>
    <col min="15367" max="15367" width="16" style="18" customWidth="1"/>
    <col min="15368" max="15368" width="26" style="18" customWidth="1"/>
    <col min="15369" max="15369" width="9" style="18"/>
    <col min="15370" max="15370" width="9" style="18" customWidth="1"/>
    <col min="15371" max="15617" width="9" style="18"/>
    <col min="15618" max="15618" width="9.86328125" style="18" customWidth="1"/>
    <col min="15619" max="15619" width="2" style="18" customWidth="1"/>
    <col min="15620" max="15620" width="12.53125" style="18" customWidth="1"/>
    <col min="15621" max="15621" width="1.86328125" style="18" customWidth="1"/>
    <col min="15622" max="15622" width="2" style="18" customWidth="1"/>
    <col min="15623" max="15623" width="16" style="18" customWidth="1"/>
    <col min="15624" max="15624" width="26" style="18" customWidth="1"/>
    <col min="15625" max="15625" width="9" style="18"/>
    <col min="15626" max="15626" width="9" style="18" customWidth="1"/>
    <col min="15627" max="15873" width="9" style="18"/>
    <col min="15874" max="15874" width="9.86328125" style="18" customWidth="1"/>
    <col min="15875" max="15875" width="2" style="18" customWidth="1"/>
    <col min="15876" max="15876" width="12.53125" style="18" customWidth="1"/>
    <col min="15877" max="15877" width="1.86328125" style="18" customWidth="1"/>
    <col min="15878" max="15878" width="2" style="18" customWidth="1"/>
    <col min="15879" max="15879" width="16" style="18" customWidth="1"/>
    <col min="15880" max="15880" width="26" style="18" customWidth="1"/>
    <col min="15881" max="15881" width="9" style="18"/>
    <col min="15882" max="15882" width="9" style="18" customWidth="1"/>
    <col min="15883" max="16129" width="9" style="18"/>
    <col min="16130" max="16130" width="9.86328125" style="18" customWidth="1"/>
    <col min="16131" max="16131" width="2" style="18" customWidth="1"/>
    <col min="16132" max="16132" width="12.53125" style="18" customWidth="1"/>
    <col min="16133" max="16133" width="1.86328125" style="18" customWidth="1"/>
    <col min="16134" max="16134" width="2" style="18" customWidth="1"/>
    <col min="16135" max="16135" width="16" style="18" customWidth="1"/>
    <col min="16136" max="16136" width="26" style="18" customWidth="1"/>
    <col min="16137" max="16137" width="9" style="18"/>
    <col min="16138" max="16138" width="9" style="18" customWidth="1"/>
    <col min="16139" max="16384" width="9" style="18"/>
  </cols>
  <sheetData>
    <row r="1" spans="1:12" ht="17.25">
      <c r="A1" s="19"/>
      <c r="B1" s="20"/>
      <c r="C1" s="20"/>
      <c r="D1" s="1327" t="str">
        <f>opd_lok</f>
        <v>Provinsi Nusa Tenggara Barat</v>
      </c>
      <c r="E1" s="1327"/>
      <c r="F1" s="1327"/>
      <c r="G1" s="1327"/>
      <c r="H1" s="1327"/>
      <c r="I1" s="1327"/>
      <c r="J1" s="1328"/>
    </row>
    <row r="2" spans="1:12" ht="47.1" customHeight="1">
      <c r="A2" s="21"/>
      <c r="D2" s="867" t="str">
        <f>opd_nama</f>
        <v>Badan Pengelolaan Keuangan dan Aset Daerah</v>
      </c>
      <c r="E2" s="867"/>
      <c r="F2" s="867"/>
      <c r="G2" s="867"/>
      <c r="H2" s="867"/>
      <c r="I2" s="867"/>
      <c r="J2" s="1329"/>
    </row>
    <row r="3" spans="1:12" ht="17.850000000000001" customHeight="1">
      <c r="A3" s="23"/>
      <c r="B3" s="24"/>
      <c r="C3" s="24"/>
      <c r="D3" s="868" t="str">
        <f>opd_almt</f>
        <v>Jalan Pejanggik Nomor 14 Telp.( 0370 ) 627689, 625345 Fax: 627677</v>
      </c>
      <c r="E3" s="868"/>
      <c r="F3" s="868"/>
      <c r="G3" s="868"/>
      <c r="H3" s="868"/>
      <c r="I3" s="868"/>
      <c r="J3" s="1330"/>
    </row>
    <row r="4" spans="1:12" ht="5.25" customHeight="1">
      <c r="A4" s="21"/>
      <c r="J4" s="45"/>
    </row>
    <row r="5" spans="1:12" ht="15" customHeight="1">
      <c r="A5" s="26"/>
      <c r="B5" s="27"/>
      <c r="C5" s="27"/>
      <c r="D5" s="27"/>
      <c r="E5" s="27"/>
      <c r="F5" s="27"/>
      <c r="G5" s="27"/>
      <c r="H5" s="27"/>
      <c r="I5" s="27"/>
      <c r="J5" s="46"/>
    </row>
    <row r="6" spans="1:12" ht="15" customHeight="1">
      <c r="A6" s="26"/>
      <c r="B6" s="27"/>
      <c r="C6" s="27"/>
      <c r="D6" s="27"/>
      <c r="E6" s="27"/>
      <c r="F6" s="27"/>
      <c r="G6" s="27"/>
      <c r="H6" s="27"/>
      <c r="I6" s="27"/>
      <c r="J6" s="46"/>
    </row>
    <row r="7" spans="1:12" ht="38.25">
      <c r="A7" s="1331" t="s">
        <v>1292</v>
      </c>
      <c r="B7" s="1332"/>
      <c r="C7" s="1332"/>
      <c r="D7" s="1332"/>
      <c r="E7" s="1332"/>
      <c r="F7" s="1332"/>
      <c r="G7" s="1332"/>
      <c r="H7" s="1332"/>
      <c r="I7" s="1332"/>
      <c r="J7" s="1333"/>
    </row>
    <row r="8" spans="1:12" ht="38.25">
      <c r="A8" s="1334" t="s">
        <v>1293</v>
      </c>
      <c r="B8" s="1335"/>
      <c r="C8" s="1335"/>
      <c r="D8" s="1335"/>
      <c r="E8" s="1335"/>
      <c r="F8" s="1335"/>
      <c r="G8" s="1335"/>
      <c r="H8" s="1335"/>
      <c r="I8" s="1335"/>
      <c r="J8" s="1336"/>
    </row>
    <row r="9" spans="1:12" ht="20.25" customHeight="1">
      <c r="A9" s="1343" t="str">
        <f>"Nomor : "&amp;Input!$D$91</f>
        <v>Nomor : 027.1/1/SPK/BPKAD/2025</v>
      </c>
      <c r="B9" s="1344"/>
      <c r="C9" s="1344"/>
      <c r="D9" s="1344"/>
      <c r="E9" s="1344"/>
      <c r="F9" s="1344"/>
      <c r="G9" s="1344"/>
      <c r="H9" s="1344"/>
      <c r="I9" s="1344"/>
      <c r="J9" s="1345"/>
    </row>
    <row r="10" spans="1:12" ht="20.25" customHeight="1">
      <c r="A10" s="1340" t="str">
        <f>"Tanggal : "&amp;TEXT(Input!$F$91,"[$-421]d mmmm yyyy")</f>
        <v>Tanggal : 3 Agustus 2023</v>
      </c>
      <c r="B10" s="1341"/>
      <c r="C10" s="1341"/>
      <c r="D10" s="1341"/>
      <c r="E10" s="1341"/>
      <c r="F10" s="1341"/>
      <c r="G10" s="1341"/>
      <c r="H10" s="1341"/>
      <c r="I10" s="1341"/>
      <c r="J10" s="1342"/>
      <c r="K10" s="37"/>
      <c r="L10" s="37"/>
    </row>
    <row r="11" spans="1:12" ht="20.25" customHeight="1">
      <c r="A11" s="28"/>
      <c r="B11" s="29"/>
      <c r="C11" s="29"/>
      <c r="D11" s="29"/>
      <c r="E11" s="29"/>
      <c r="F11" s="29"/>
      <c r="G11" s="29"/>
      <c r="H11" s="29"/>
      <c r="I11" s="29"/>
      <c r="J11" s="47"/>
    </row>
    <row r="12" spans="1:12" ht="20.25" customHeight="1">
      <c r="A12" s="28"/>
      <c r="B12" s="29"/>
      <c r="C12" s="29"/>
      <c r="D12" s="30"/>
      <c r="E12" s="29"/>
      <c r="F12" s="29"/>
      <c r="G12" s="29"/>
      <c r="H12" s="29"/>
      <c r="I12" s="29"/>
      <c r="J12" s="47"/>
    </row>
    <row r="13" spans="1:12" ht="20.25" customHeight="1">
      <c r="A13" s="28"/>
      <c r="B13" s="29"/>
      <c r="C13" s="29"/>
      <c r="D13" s="30"/>
      <c r="E13" s="29"/>
      <c r="F13" s="29"/>
      <c r="G13" s="29"/>
      <c r="H13" s="29"/>
      <c r="I13" s="29"/>
      <c r="J13" s="47"/>
    </row>
    <row r="14" spans="1:12" ht="20.25" customHeight="1">
      <c r="A14" s="28"/>
      <c r="B14" s="29"/>
      <c r="C14" s="29"/>
      <c r="D14" s="30"/>
      <c r="E14" s="29"/>
      <c r="F14" s="29"/>
      <c r="G14" s="29"/>
      <c r="H14" s="29"/>
      <c r="I14" s="29"/>
      <c r="J14" s="47"/>
    </row>
    <row r="15" spans="1:12" ht="20.25" customHeight="1">
      <c r="A15" s="28"/>
      <c r="B15" s="29"/>
      <c r="C15" s="29"/>
      <c r="D15" s="30"/>
      <c r="E15" s="29"/>
      <c r="F15" s="29"/>
      <c r="G15" s="29"/>
      <c r="H15" s="29"/>
      <c r="I15" s="29"/>
      <c r="J15" s="47"/>
    </row>
    <row r="16" spans="1:12" ht="20.25" customHeight="1">
      <c r="A16" s="28"/>
      <c r="B16" s="29"/>
      <c r="C16" s="29"/>
      <c r="D16" s="30"/>
      <c r="E16" s="29"/>
      <c r="F16" s="29"/>
      <c r="G16" s="29"/>
      <c r="H16" s="29"/>
      <c r="I16" s="29"/>
      <c r="J16" s="47"/>
    </row>
    <row r="17" spans="1:10" ht="20.25" customHeight="1">
      <c r="A17" s="28"/>
      <c r="B17" s="29"/>
      <c r="C17" s="29"/>
      <c r="D17" s="29"/>
      <c r="E17" s="29"/>
      <c r="F17" s="29"/>
      <c r="G17" s="29"/>
      <c r="H17" s="29"/>
      <c r="I17" s="29"/>
      <c r="J17" s="47"/>
    </row>
    <row r="18" spans="1:10" ht="20.25" customHeight="1">
      <c r="A18" s="1340" t="s">
        <v>1294</v>
      </c>
      <c r="B18" s="1341"/>
      <c r="C18" s="1341"/>
      <c r="D18" s="1341"/>
      <c r="E18" s="1341"/>
      <c r="F18" s="1341"/>
      <c r="G18" s="1341"/>
      <c r="H18" s="1341"/>
      <c r="I18" s="1341"/>
      <c r="J18" s="1342"/>
    </row>
    <row r="19" spans="1:10" ht="20.100000000000001" customHeight="1">
      <c r="A19" s="1337" t="str">
        <f>UPPER(paket)</f>
        <v>BELANJA PEMELIHARAAN BANGUNAN GEDUNG-BANGUNAN GEDUNG TEMPAT KERJA-BANGUNAN GEDUNG KANTOR-PEMELIHARAAN GEDUNG BERTINGKAT</v>
      </c>
      <c r="B19" s="1338"/>
      <c r="C19" s="1338"/>
      <c r="D19" s="1338"/>
      <c r="E19" s="1338"/>
      <c r="F19" s="1338"/>
      <c r="G19" s="1338"/>
      <c r="H19" s="1338"/>
      <c r="I19" s="1338"/>
      <c r="J19" s="1339"/>
    </row>
    <row r="20" spans="1:10" ht="20.25" customHeight="1">
      <c r="A20" s="1337"/>
      <c r="B20" s="1338"/>
      <c r="C20" s="1338"/>
      <c r="D20" s="1338"/>
      <c r="E20" s="1338"/>
      <c r="F20" s="1338"/>
      <c r="G20" s="1338"/>
      <c r="H20" s="1338"/>
      <c r="I20" s="1338"/>
      <c r="J20" s="1339"/>
    </row>
    <row r="21" spans="1:10" ht="20.25" customHeight="1">
      <c r="A21" s="31"/>
      <c r="B21" s="30"/>
      <c r="C21" s="30"/>
      <c r="D21" s="30" t="s">
        <v>1167</v>
      </c>
      <c r="E21" s="30"/>
      <c r="G21" s="30" t="s">
        <v>2</v>
      </c>
      <c r="H21" s="32">
        <f>bu_hn</f>
        <v>69862000</v>
      </c>
      <c r="I21" s="30"/>
      <c r="J21" s="48"/>
    </row>
    <row r="22" spans="1:10" ht="20.25" customHeight="1">
      <c r="A22" s="31"/>
      <c r="B22" s="30"/>
      <c r="C22" s="30"/>
      <c r="D22" s="30" t="s">
        <v>1295</v>
      </c>
      <c r="E22" s="30"/>
      <c r="G22" s="30" t="s">
        <v>2</v>
      </c>
      <c r="H22" s="30" t="str">
        <f>masa&amp;" ("&amp;Input!$E$16&amp;") hari kalender"</f>
        <v>30 (tiga puluh) hari kalender</v>
      </c>
      <c r="I22" s="30"/>
      <c r="J22" s="48"/>
    </row>
    <row r="23" spans="1:10" ht="20.25" customHeight="1">
      <c r="A23" s="31"/>
      <c r="B23" s="30"/>
      <c r="C23" s="30"/>
      <c r="D23" s="30" t="s">
        <v>1296</v>
      </c>
      <c r="E23" s="30"/>
      <c r="G23" s="30" t="s">
        <v>2</v>
      </c>
      <c r="H23" s="30" t="str">
        <f>Input!$H$98</f>
        <v>3 Agustus 2023</v>
      </c>
      <c r="I23" s="30"/>
      <c r="J23" s="48"/>
    </row>
    <row r="24" spans="1:10" ht="20.25" customHeight="1">
      <c r="A24" s="31"/>
      <c r="B24" s="30"/>
      <c r="C24" s="30"/>
      <c r="D24" s="30" t="s">
        <v>1297</v>
      </c>
      <c r="E24" s="30"/>
      <c r="G24" s="30" t="s">
        <v>2</v>
      </c>
      <c r="H24" s="30" t="str">
        <f>Input!$H$99</f>
        <v>2 September 2023</v>
      </c>
      <c r="I24" s="30"/>
      <c r="J24" s="48"/>
    </row>
    <row r="25" spans="1:10" ht="20.25" customHeight="1">
      <c r="A25" s="31"/>
      <c r="B25" s="30"/>
      <c r="C25" s="33"/>
      <c r="D25" s="33"/>
      <c r="E25" s="30"/>
      <c r="F25" s="30"/>
      <c r="G25" s="30"/>
      <c r="H25" s="30"/>
      <c r="I25" s="30"/>
      <c r="J25" s="48"/>
    </row>
    <row r="26" spans="1:10" ht="20.25" customHeight="1">
      <c r="A26" s="31"/>
      <c r="B26" s="30"/>
      <c r="C26" s="33"/>
      <c r="D26" s="33"/>
      <c r="E26" s="30"/>
      <c r="F26" s="30"/>
      <c r="G26" s="30"/>
      <c r="H26" s="30"/>
      <c r="I26" s="30"/>
      <c r="J26" s="48"/>
    </row>
    <row r="27" spans="1:10" ht="20.25" customHeight="1">
      <c r="A27" s="31"/>
      <c r="B27" s="30"/>
      <c r="C27" s="33"/>
      <c r="D27" s="33"/>
      <c r="E27" s="30"/>
      <c r="F27" s="30"/>
      <c r="G27" s="30"/>
      <c r="H27" s="30"/>
      <c r="I27" s="30"/>
      <c r="J27" s="48"/>
    </row>
    <row r="28" spans="1:10" ht="20.25" customHeight="1">
      <c r="A28" s="31"/>
      <c r="B28" s="30"/>
      <c r="C28" s="33"/>
      <c r="D28" s="33"/>
      <c r="E28" s="30"/>
      <c r="F28" s="30"/>
      <c r="G28" s="30"/>
      <c r="H28" s="30"/>
      <c r="I28" s="30"/>
      <c r="J28" s="48"/>
    </row>
    <row r="29" spans="1:10" ht="20.25" customHeight="1">
      <c r="A29" s="1340" t="str">
        <f>"Tahun Anggaran "&amp;tahun</f>
        <v>Tahun Anggaran 2025</v>
      </c>
      <c r="B29" s="1341"/>
      <c r="C29" s="1341"/>
      <c r="D29" s="1341"/>
      <c r="E29" s="1341"/>
      <c r="F29" s="1341"/>
      <c r="G29" s="1341"/>
      <c r="H29" s="1341"/>
      <c r="I29" s="1341"/>
      <c r="J29" s="1342"/>
    </row>
    <row r="30" spans="1:10" ht="20.25" customHeight="1">
      <c r="A30" s="34"/>
      <c r="B30" s="35"/>
      <c r="C30" s="35"/>
      <c r="D30" s="35"/>
      <c r="E30" s="35"/>
      <c r="F30" s="35"/>
      <c r="G30" s="35"/>
      <c r="H30" s="35"/>
      <c r="I30" s="35"/>
      <c r="J30" s="49"/>
    </row>
    <row r="31" spans="1:10" ht="20.25" customHeight="1">
      <c r="A31" s="31"/>
      <c r="B31" s="30"/>
      <c r="C31" s="33"/>
      <c r="D31" s="33"/>
      <c r="E31" s="30"/>
      <c r="F31" s="30"/>
      <c r="G31" s="30"/>
      <c r="H31" s="30"/>
      <c r="I31" s="30"/>
      <c r="J31" s="48"/>
    </row>
    <row r="32" spans="1:10" ht="20.25" customHeight="1">
      <c r="A32" s="1340" t="s">
        <v>1298</v>
      </c>
      <c r="B32" s="1341"/>
      <c r="C32" s="1341"/>
      <c r="D32" s="1341"/>
      <c r="E32" s="1341"/>
      <c r="F32" s="1341"/>
      <c r="G32" s="1341"/>
      <c r="H32" s="1341"/>
      <c r="I32" s="1341"/>
      <c r="J32" s="1342"/>
    </row>
    <row r="33" spans="1:11" ht="19.899999999999999">
      <c r="A33" s="1337" t="str">
        <f>UPPER(bu_nama)</f>
        <v>PT. DARUSSALAM MEDIA GROUP</v>
      </c>
      <c r="B33" s="1338"/>
      <c r="C33" s="1338"/>
      <c r="D33" s="1338"/>
      <c r="E33" s="1338"/>
      <c r="F33" s="1338"/>
      <c r="G33" s="1338"/>
      <c r="H33" s="1338"/>
      <c r="I33" s="1338"/>
      <c r="J33" s="1339"/>
    </row>
    <row r="34" spans="1:11" ht="20.25" customHeight="1">
      <c r="A34" s="1340" t="str">
        <f>bu_almt</f>
        <v>JL Meninting 13 No.. 22C BTN Kekalik, Kel. Pagesangan Barat, Kota Mataram, Provinsi Nusa Tenggara Barat</v>
      </c>
      <c r="B34" s="1341"/>
      <c r="C34" s="1341"/>
      <c r="D34" s="1341"/>
      <c r="E34" s="1341"/>
      <c r="F34" s="1341"/>
      <c r="G34" s="1341"/>
      <c r="H34" s="1341"/>
      <c r="I34" s="1341"/>
      <c r="J34" s="1342"/>
    </row>
    <row r="35" spans="1:11" ht="20.25" customHeight="1">
      <c r="A35" s="1340" t="str">
        <f>"NPWP : "&amp;bu_npwp</f>
        <v>NPWP : 03.990.125.5.8-911.000</v>
      </c>
      <c r="B35" s="1341"/>
      <c r="C35" s="1341"/>
      <c r="D35" s="1341"/>
      <c r="E35" s="1341"/>
      <c r="F35" s="1341"/>
      <c r="G35" s="1341"/>
      <c r="H35" s="1341"/>
      <c r="I35" s="1341"/>
      <c r="J35" s="1342"/>
    </row>
    <row r="36" spans="1:11" ht="20.25" customHeight="1">
      <c r="A36" s="36"/>
      <c r="B36" s="37"/>
      <c r="C36" s="38"/>
      <c r="D36" s="38"/>
      <c r="E36" s="37"/>
      <c r="F36" s="37"/>
      <c r="G36" s="37"/>
      <c r="H36" s="39"/>
      <c r="I36" s="39"/>
      <c r="J36" s="50"/>
    </row>
    <row r="37" spans="1:11" ht="15" customHeight="1">
      <c r="A37" s="40"/>
      <c r="B37" s="41"/>
      <c r="C37" s="42"/>
      <c r="D37" s="42"/>
      <c r="E37" s="41"/>
      <c r="F37" s="41"/>
      <c r="G37" s="41"/>
      <c r="H37" s="41"/>
      <c r="I37" s="51"/>
      <c r="J37" s="52"/>
      <c r="K37" s="53"/>
    </row>
    <row r="38" spans="1:11" ht="15" customHeight="1">
      <c r="C38" s="43"/>
      <c r="D38" s="43"/>
      <c r="I38" s="54"/>
      <c r="J38" s="53"/>
      <c r="K38" s="53"/>
    </row>
    <row r="39" spans="1:11" ht="15" customHeight="1">
      <c r="C39" s="43"/>
      <c r="D39" s="43"/>
      <c r="I39" s="44"/>
      <c r="J39" s="53"/>
      <c r="K39" s="53"/>
    </row>
    <row r="40" spans="1:11" ht="15" customHeight="1">
      <c r="C40" s="43"/>
      <c r="D40" s="43"/>
      <c r="I40" s="44"/>
      <c r="J40" s="53"/>
      <c r="K40" s="53"/>
    </row>
    <row r="41" spans="1:11" ht="15" customHeight="1">
      <c r="C41" s="43"/>
      <c r="D41" s="43"/>
      <c r="I41" s="55"/>
      <c r="J41" s="53"/>
      <c r="K41" s="53"/>
    </row>
    <row r="42" spans="1:11" ht="15" customHeight="1">
      <c r="C42" s="43"/>
      <c r="D42" s="43"/>
      <c r="I42" s="44"/>
      <c r="J42" s="53"/>
      <c r="K42" s="53"/>
    </row>
    <row r="43" spans="1:11" ht="15" customHeight="1">
      <c r="C43" s="43"/>
      <c r="D43" s="43"/>
      <c r="H43" s="44"/>
      <c r="I43" s="44"/>
      <c r="J43" s="53"/>
    </row>
    <row r="44" spans="1:11" ht="15" customHeight="1">
      <c r="A44" s="37"/>
      <c r="B44" s="37"/>
      <c r="C44" s="38"/>
      <c r="D44" s="38"/>
      <c r="E44" s="37"/>
      <c r="F44" s="37"/>
      <c r="G44" s="37"/>
      <c r="H44" s="37"/>
      <c r="I44" s="37"/>
      <c r="J44" s="37"/>
    </row>
    <row r="45" spans="1:11" ht="15" customHeight="1">
      <c r="A45" s="37"/>
      <c r="B45" s="37"/>
      <c r="C45" s="38"/>
      <c r="D45" s="38"/>
      <c r="E45" s="37"/>
      <c r="F45" s="37"/>
      <c r="G45" s="37"/>
      <c r="H45" s="39"/>
      <c r="I45" s="39"/>
      <c r="J45" s="37"/>
    </row>
    <row r="46" spans="1:11" ht="15" customHeight="1">
      <c r="A46" s="37"/>
      <c r="B46" s="37"/>
      <c r="C46" s="38"/>
      <c r="D46" s="38"/>
      <c r="E46" s="37"/>
      <c r="F46" s="37"/>
      <c r="G46" s="37"/>
      <c r="H46" s="37"/>
      <c r="I46" s="37"/>
      <c r="J46" s="37"/>
    </row>
    <row r="47" spans="1:11" ht="15" customHeight="1">
      <c r="A47" s="37"/>
      <c r="B47" s="37"/>
      <c r="C47" s="38"/>
      <c r="D47" s="38"/>
      <c r="E47" s="37"/>
      <c r="F47" s="37"/>
      <c r="G47" s="37"/>
      <c r="H47" s="37"/>
      <c r="I47" s="37"/>
      <c r="J47" s="37"/>
    </row>
    <row r="48" spans="1:11" ht="15" customHeight="1">
      <c r="A48" s="37"/>
      <c r="B48" s="37"/>
      <c r="C48" s="38"/>
      <c r="D48" s="38"/>
      <c r="E48" s="37"/>
      <c r="F48" s="37"/>
      <c r="G48" s="37"/>
      <c r="H48" s="39"/>
      <c r="I48" s="39"/>
      <c r="J48" s="37"/>
    </row>
    <row r="49" spans="1:10" ht="15" customHeight="1">
      <c r="A49" s="37"/>
      <c r="B49" s="37"/>
      <c r="C49" s="38"/>
      <c r="D49" s="38"/>
      <c r="E49" s="37"/>
      <c r="F49" s="37"/>
      <c r="G49" s="37"/>
      <c r="H49" s="37"/>
      <c r="I49" s="37"/>
      <c r="J49" s="37"/>
    </row>
    <row r="52" spans="1:10" ht="14.25" customHeight="1"/>
  </sheetData>
  <mergeCells count="14">
    <mergeCell ref="A33:J33"/>
    <mergeCell ref="A34:J34"/>
    <mergeCell ref="A35:J35"/>
    <mergeCell ref="A19:J20"/>
    <mergeCell ref="A9:J9"/>
    <mergeCell ref="A10:J10"/>
    <mergeCell ref="A18:J18"/>
    <mergeCell ref="A29:J29"/>
    <mergeCell ref="A32:J32"/>
    <mergeCell ref="D1:J1"/>
    <mergeCell ref="D2:J2"/>
    <mergeCell ref="D3:J3"/>
    <mergeCell ref="A7:J7"/>
    <mergeCell ref="A8:J8"/>
  </mergeCells>
  <printOptions horizontalCentered="1"/>
  <pageMargins left="0.78740157480314998" right="0.55118110236220497" top="0.39370078740157499" bottom="0.78740157480314998" header="0.196850393700787" footer="0.196850393700787"/>
  <pageSetup paperSize="9" orientation="portrait" horizontalDpi="200" verticalDpi="300" r:id="rId1"/>
  <colBreaks count="1" manualBreakCount="1">
    <brk id="10" max="71"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8">
    <tabColor theme="1"/>
  </sheetPr>
  <dimension ref="A1:Y180"/>
  <sheetViews>
    <sheetView zoomScale="85" zoomScaleNormal="85" workbookViewId="0">
      <selection activeCell="A5" sqref="A5"/>
    </sheetView>
  </sheetViews>
  <sheetFormatPr defaultColWidth="9" defaultRowHeight="12.75"/>
  <cols>
    <col min="1" max="1" width="24" style="1" customWidth="1"/>
    <col min="2" max="2" width="16" style="1" customWidth="1"/>
    <col min="3" max="3" width="9" style="1"/>
    <col min="4" max="4" width="16.53125" style="1" customWidth="1"/>
    <col min="5" max="21" width="9" style="1"/>
    <col min="22" max="22" width="13.6640625" style="1" customWidth="1"/>
    <col min="23" max="23" width="6.19921875" style="1" customWidth="1"/>
    <col min="24" max="209" width="9" style="1"/>
    <col min="210" max="210" width="18" style="1" customWidth="1"/>
    <col min="211" max="211" width="16" style="1" customWidth="1"/>
    <col min="212" max="465" width="9" style="1"/>
    <col min="466" max="466" width="18" style="1" customWidth="1"/>
    <col min="467" max="467" width="16" style="1" customWidth="1"/>
    <col min="468" max="721" width="9" style="1"/>
    <col min="722" max="722" width="18" style="1" customWidth="1"/>
    <col min="723" max="723" width="16" style="1" customWidth="1"/>
    <col min="724" max="977" width="9" style="1"/>
    <col min="978" max="978" width="18" style="1" customWidth="1"/>
    <col min="979" max="979" width="16" style="1" customWidth="1"/>
    <col min="980" max="1233" width="9" style="1"/>
    <col min="1234" max="1234" width="18" style="1" customWidth="1"/>
    <col min="1235" max="1235" width="16" style="1" customWidth="1"/>
    <col min="1236" max="1489" width="9" style="1"/>
    <col min="1490" max="1490" width="18" style="1" customWidth="1"/>
    <col min="1491" max="1491" width="16" style="1" customWidth="1"/>
    <col min="1492" max="1745" width="9" style="1"/>
    <col min="1746" max="1746" width="18" style="1" customWidth="1"/>
    <col min="1747" max="1747" width="16" style="1" customWidth="1"/>
    <col min="1748" max="2001" width="9" style="1"/>
    <col min="2002" max="2002" width="18" style="1" customWidth="1"/>
    <col min="2003" max="2003" width="16" style="1" customWidth="1"/>
    <col min="2004" max="2257" width="9" style="1"/>
    <col min="2258" max="2258" width="18" style="1" customWidth="1"/>
    <col min="2259" max="2259" width="16" style="1" customWidth="1"/>
    <col min="2260" max="2513" width="9" style="1"/>
    <col min="2514" max="2514" width="18" style="1" customWidth="1"/>
    <col min="2515" max="2515" width="16" style="1" customWidth="1"/>
    <col min="2516" max="2769" width="9" style="1"/>
    <col min="2770" max="2770" width="18" style="1" customWidth="1"/>
    <col min="2771" max="2771" width="16" style="1" customWidth="1"/>
    <col min="2772" max="3025" width="9" style="1"/>
    <col min="3026" max="3026" width="18" style="1" customWidth="1"/>
    <col min="3027" max="3027" width="16" style="1" customWidth="1"/>
    <col min="3028" max="3281" width="9" style="1"/>
    <col min="3282" max="3282" width="18" style="1" customWidth="1"/>
    <col min="3283" max="3283" width="16" style="1" customWidth="1"/>
    <col min="3284" max="3537" width="9" style="1"/>
    <col min="3538" max="3538" width="18" style="1" customWidth="1"/>
    <col min="3539" max="3539" width="16" style="1" customWidth="1"/>
    <col min="3540" max="3793" width="9" style="1"/>
    <col min="3794" max="3794" width="18" style="1" customWidth="1"/>
    <col min="3795" max="3795" width="16" style="1" customWidth="1"/>
    <col min="3796" max="4049" width="9" style="1"/>
    <col min="4050" max="4050" width="18" style="1" customWidth="1"/>
    <col min="4051" max="4051" width="16" style="1" customWidth="1"/>
    <col min="4052" max="4305" width="9" style="1"/>
    <col min="4306" max="4306" width="18" style="1" customWidth="1"/>
    <col min="4307" max="4307" width="16" style="1" customWidth="1"/>
    <col min="4308" max="4561" width="9" style="1"/>
    <col min="4562" max="4562" width="18" style="1" customWidth="1"/>
    <col min="4563" max="4563" width="16" style="1" customWidth="1"/>
    <col min="4564" max="4817" width="9" style="1"/>
    <col min="4818" max="4818" width="18" style="1" customWidth="1"/>
    <col min="4819" max="4819" width="16" style="1" customWidth="1"/>
    <col min="4820" max="5073" width="9" style="1"/>
    <col min="5074" max="5074" width="18" style="1" customWidth="1"/>
    <col min="5075" max="5075" width="16" style="1" customWidth="1"/>
    <col min="5076" max="5329" width="9" style="1"/>
    <col min="5330" max="5330" width="18" style="1" customWidth="1"/>
    <col min="5331" max="5331" width="16" style="1" customWidth="1"/>
    <col min="5332" max="5585" width="9" style="1"/>
    <col min="5586" max="5586" width="18" style="1" customWidth="1"/>
    <col min="5587" max="5587" width="16" style="1" customWidth="1"/>
    <col min="5588" max="5841" width="9" style="1"/>
    <col min="5842" max="5842" width="18" style="1" customWidth="1"/>
    <col min="5843" max="5843" width="16" style="1" customWidth="1"/>
    <col min="5844" max="6097" width="9" style="1"/>
    <col min="6098" max="6098" width="18" style="1" customWidth="1"/>
    <col min="6099" max="6099" width="16" style="1" customWidth="1"/>
    <col min="6100" max="6353" width="9" style="1"/>
    <col min="6354" max="6354" width="18" style="1" customWidth="1"/>
    <col min="6355" max="6355" width="16" style="1" customWidth="1"/>
    <col min="6356" max="6609" width="9" style="1"/>
    <col min="6610" max="6610" width="18" style="1" customWidth="1"/>
    <col min="6611" max="6611" width="16" style="1" customWidth="1"/>
    <col min="6612" max="6865" width="9" style="1"/>
    <col min="6866" max="6866" width="18" style="1" customWidth="1"/>
    <col min="6867" max="6867" width="16" style="1" customWidth="1"/>
    <col min="6868" max="7121" width="9" style="1"/>
    <col min="7122" max="7122" width="18" style="1" customWidth="1"/>
    <col min="7123" max="7123" width="16" style="1" customWidth="1"/>
    <col min="7124" max="7377" width="9" style="1"/>
    <col min="7378" max="7378" width="18" style="1" customWidth="1"/>
    <col min="7379" max="7379" width="16" style="1" customWidth="1"/>
    <col min="7380" max="7633" width="9" style="1"/>
    <col min="7634" max="7634" width="18" style="1" customWidth="1"/>
    <col min="7635" max="7635" width="16" style="1" customWidth="1"/>
    <col min="7636" max="7889" width="9" style="1"/>
    <col min="7890" max="7890" width="18" style="1" customWidth="1"/>
    <col min="7891" max="7891" width="16" style="1" customWidth="1"/>
    <col min="7892" max="8145" width="9" style="1"/>
    <col min="8146" max="8146" width="18" style="1" customWidth="1"/>
    <col min="8147" max="8147" width="16" style="1" customWidth="1"/>
    <col min="8148" max="8401" width="9" style="1"/>
    <col min="8402" max="8402" width="18" style="1" customWidth="1"/>
    <col min="8403" max="8403" width="16" style="1" customWidth="1"/>
    <col min="8404" max="8657" width="9" style="1"/>
    <col min="8658" max="8658" width="18" style="1" customWidth="1"/>
    <col min="8659" max="8659" width="16" style="1" customWidth="1"/>
    <col min="8660" max="8913" width="9" style="1"/>
    <col min="8914" max="8914" width="18" style="1" customWidth="1"/>
    <col min="8915" max="8915" width="16" style="1" customWidth="1"/>
    <col min="8916" max="9169" width="9" style="1"/>
    <col min="9170" max="9170" width="18" style="1" customWidth="1"/>
    <col min="9171" max="9171" width="16" style="1" customWidth="1"/>
    <col min="9172" max="9425" width="9" style="1"/>
    <col min="9426" max="9426" width="18" style="1" customWidth="1"/>
    <col min="9427" max="9427" width="16" style="1" customWidth="1"/>
    <col min="9428" max="9681" width="9" style="1"/>
    <col min="9682" max="9682" width="18" style="1" customWidth="1"/>
    <col min="9683" max="9683" width="16" style="1" customWidth="1"/>
    <col min="9684" max="9937" width="9" style="1"/>
    <col min="9938" max="9938" width="18" style="1" customWidth="1"/>
    <col min="9939" max="9939" width="16" style="1" customWidth="1"/>
    <col min="9940" max="10193" width="9" style="1"/>
    <col min="10194" max="10194" width="18" style="1" customWidth="1"/>
    <col min="10195" max="10195" width="16" style="1" customWidth="1"/>
    <col min="10196" max="10449" width="9" style="1"/>
    <col min="10450" max="10450" width="18" style="1" customWidth="1"/>
    <col min="10451" max="10451" width="16" style="1" customWidth="1"/>
    <col min="10452" max="10705" width="9" style="1"/>
    <col min="10706" max="10706" width="18" style="1" customWidth="1"/>
    <col min="10707" max="10707" width="16" style="1" customWidth="1"/>
    <col min="10708" max="10961" width="9" style="1"/>
    <col min="10962" max="10962" width="18" style="1" customWidth="1"/>
    <col min="10963" max="10963" width="16" style="1" customWidth="1"/>
    <col min="10964" max="11217" width="9" style="1"/>
    <col min="11218" max="11218" width="18" style="1" customWidth="1"/>
    <col min="11219" max="11219" width="16" style="1" customWidth="1"/>
    <col min="11220" max="11473" width="9" style="1"/>
    <col min="11474" max="11474" width="18" style="1" customWidth="1"/>
    <col min="11475" max="11475" width="16" style="1" customWidth="1"/>
    <col min="11476" max="11729" width="9" style="1"/>
    <col min="11730" max="11730" width="18" style="1" customWidth="1"/>
    <col min="11731" max="11731" width="16" style="1" customWidth="1"/>
    <col min="11732" max="11985" width="9" style="1"/>
    <col min="11986" max="11986" width="18" style="1" customWidth="1"/>
    <col min="11987" max="11987" width="16" style="1" customWidth="1"/>
    <col min="11988" max="12241" width="9" style="1"/>
    <col min="12242" max="12242" width="18" style="1" customWidth="1"/>
    <col min="12243" max="12243" width="16" style="1" customWidth="1"/>
    <col min="12244" max="12497" width="9" style="1"/>
    <col min="12498" max="12498" width="18" style="1" customWidth="1"/>
    <col min="12499" max="12499" width="16" style="1" customWidth="1"/>
    <col min="12500" max="12753" width="9" style="1"/>
    <col min="12754" max="12754" width="18" style="1" customWidth="1"/>
    <col min="12755" max="12755" width="16" style="1" customWidth="1"/>
    <col min="12756" max="13009" width="9" style="1"/>
    <col min="13010" max="13010" width="18" style="1" customWidth="1"/>
    <col min="13011" max="13011" width="16" style="1" customWidth="1"/>
    <col min="13012" max="13265" width="9" style="1"/>
    <col min="13266" max="13266" width="18" style="1" customWidth="1"/>
    <col min="13267" max="13267" width="16" style="1" customWidth="1"/>
    <col min="13268" max="13521" width="9" style="1"/>
    <col min="13522" max="13522" width="18" style="1" customWidth="1"/>
    <col min="13523" max="13523" width="16" style="1" customWidth="1"/>
    <col min="13524" max="13777" width="9" style="1"/>
    <col min="13778" max="13778" width="18" style="1" customWidth="1"/>
    <col min="13779" max="13779" width="16" style="1" customWidth="1"/>
    <col min="13780" max="14033" width="9" style="1"/>
    <col min="14034" max="14034" width="18" style="1" customWidth="1"/>
    <col min="14035" max="14035" width="16" style="1" customWidth="1"/>
    <col min="14036" max="14289" width="9" style="1"/>
    <col min="14290" max="14290" width="18" style="1" customWidth="1"/>
    <col min="14291" max="14291" width="16" style="1" customWidth="1"/>
    <col min="14292" max="14545" width="9" style="1"/>
    <col min="14546" max="14546" width="18" style="1" customWidth="1"/>
    <col min="14547" max="14547" width="16" style="1" customWidth="1"/>
    <col min="14548" max="14801" width="9" style="1"/>
    <col min="14802" max="14802" width="18" style="1" customWidth="1"/>
    <col min="14803" max="14803" width="16" style="1" customWidth="1"/>
    <col min="14804" max="15057" width="9" style="1"/>
    <col min="15058" max="15058" width="18" style="1" customWidth="1"/>
    <col min="15059" max="15059" width="16" style="1" customWidth="1"/>
    <col min="15060" max="15313" width="9" style="1"/>
    <col min="15314" max="15314" width="18" style="1" customWidth="1"/>
    <col min="15315" max="15315" width="16" style="1" customWidth="1"/>
    <col min="15316" max="15569" width="9" style="1"/>
    <col min="15570" max="15570" width="18" style="1" customWidth="1"/>
    <col min="15571" max="15571" width="16" style="1" customWidth="1"/>
    <col min="15572" max="15825" width="9" style="1"/>
    <col min="15826" max="15826" width="18" style="1" customWidth="1"/>
    <col min="15827" max="15827" width="16" style="1" customWidth="1"/>
    <col min="15828" max="16081" width="9" style="1"/>
    <col min="16082" max="16082" width="18" style="1" customWidth="1"/>
    <col min="16083" max="16083" width="16" style="1" customWidth="1"/>
    <col min="16084" max="16359" width="9" style="1"/>
    <col min="16360" max="16384" width="9" style="1" customWidth="1"/>
  </cols>
  <sheetData>
    <row r="1" spans="1:25" ht="14.25">
      <c r="A1" s="2" t="str">
        <f>I2&amp;K2&amp;I3&amp;K3&amp;I4&amp;K4&amp;I5&amp;K5&amp;I6&amp;K6&amp;I7&amp;K7&amp;I8&amp;K8&amp;I9&amp;K9&amp;I10&amp;K10&amp;I11&amp;K11&amp;I12&amp;K12&amp;I13&amp;K13&amp;I14&amp;K14&amp;I15&amp;K15</f>
        <v>Enam Puluh Sembilan Juta Delapan Ratus Enam Puluh Dua Ribu Rupiah</v>
      </c>
      <c r="B1" s="3"/>
      <c r="C1" s="3"/>
      <c r="D1" s="3"/>
      <c r="E1" s="3"/>
      <c r="F1" s="3"/>
      <c r="G1" s="3"/>
      <c r="H1" s="3"/>
      <c r="I1" s="3"/>
      <c r="J1" s="3"/>
      <c r="K1" s="3"/>
      <c r="L1" s="3"/>
      <c r="M1" s="3"/>
      <c r="N1" s="3"/>
      <c r="O1" s="3"/>
      <c r="P1" s="3"/>
      <c r="Q1" s="3"/>
      <c r="R1" s="3"/>
      <c r="S1" s="9"/>
      <c r="V1" s="10" t="str">
        <f>IF(hps&gt;0,TEXT(1000000000,"#.##0"),0)</f>
        <v>1000000000.0</v>
      </c>
      <c r="W1" s="11">
        <f>LEN(V1)</f>
        <v>12</v>
      </c>
      <c r="X1" s="12" t="str">
        <f>IF(W1&gt;W2,"#.##0","#,##0")</f>
        <v>#,##0</v>
      </c>
      <c r="Y1" s="1" t="s">
        <v>1299</v>
      </c>
    </row>
    <row r="2" spans="1:25" ht="14.25">
      <c r="A2" s="4">
        <f>hps</f>
        <v>69862000</v>
      </c>
      <c r="B2" s="1">
        <f>ROUNDDOWN(A2,-11)</f>
        <v>0</v>
      </c>
      <c r="C2" s="1" t="str">
        <f t="shared" ref="C2:C14" si="0">LEFT(B2)</f>
        <v>0</v>
      </c>
      <c r="D2" s="1">
        <f t="shared" ref="D2:D15" si="1">VALUE(C2)</f>
        <v>0</v>
      </c>
      <c r="G2" s="1" t="str">
        <f>IF(D2=0,"",(VLOOKUP(D2,$P$2:$Q$11,2)))</f>
        <v/>
      </c>
      <c r="H2" s="1" t="str">
        <f>IF(D2=1,"Se",G2)</f>
        <v/>
      </c>
      <c r="I2" s="1" t="str">
        <f>IF(F2=0,H2,F2)</f>
        <v/>
      </c>
      <c r="J2" s="1" t="str">
        <f>IF(D2=1,"ratus ",IF(D2=0,"","Ratus "))</f>
        <v/>
      </c>
      <c r="K2" s="1" t="str">
        <f t="shared" ref="K2:K15" si="2">IF(E2=0,J2,"")</f>
        <v/>
      </c>
      <c r="P2" s="1">
        <v>0</v>
      </c>
      <c r="R2" s="1">
        <f>P11+1</f>
        <v>10</v>
      </c>
      <c r="S2" s="13" t="s">
        <v>1300</v>
      </c>
      <c r="V2" s="14" t="str">
        <f>IF(hps&gt;0,TEXT(1000000000,"#,##0"),0)</f>
        <v>1,000,000,000</v>
      </c>
      <c r="W2" s="15">
        <f>LEN(V2)</f>
        <v>13</v>
      </c>
      <c r="X2" s="16" t="str">
        <f>IF(W1&gt;W2,"0,00","0.00")</f>
        <v>0.00</v>
      </c>
      <c r="Y2" s="1" t="s">
        <v>1301</v>
      </c>
    </row>
    <row r="3" spans="1:25">
      <c r="A3" s="5" t="s">
        <v>1302</v>
      </c>
      <c r="B3" s="1">
        <f>ROUNDDOWN(A2-B2,-10)</f>
        <v>0</v>
      </c>
      <c r="C3" s="1" t="str">
        <f t="shared" si="0"/>
        <v>0</v>
      </c>
      <c r="D3" s="1">
        <f t="shared" si="1"/>
        <v>0</v>
      </c>
      <c r="E3" s="1">
        <f>IF(D3=1,D3*10+D4,0)</f>
        <v>0</v>
      </c>
      <c r="F3" s="1">
        <f>IF(E3=0,0,VLOOKUP(E3,$R$2:$S$11,2))</f>
        <v>0</v>
      </c>
      <c r="G3" s="1" t="str">
        <f>IF(D3=0,"",(VLOOKUP(D3,$P$2:$Q$11,2)))</f>
        <v/>
      </c>
      <c r="H3" s="1" t="str">
        <f>IF(D3=1,"Se",G3)</f>
        <v/>
      </c>
      <c r="I3" s="1" t="str">
        <f>IF(F3=0,H3,F3)</f>
        <v/>
      </c>
      <c r="J3" s="1" t="str">
        <f>IF(D3=0,"","Puluh ")</f>
        <v/>
      </c>
      <c r="K3" s="1" t="str">
        <f t="shared" si="2"/>
        <v/>
      </c>
      <c r="L3" s="1" t="str">
        <f>IF(F3=0,"","Milyar ")</f>
        <v/>
      </c>
      <c r="P3" s="1">
        <v>1</v>
      </c>
      <c r="Q3" s="1" t="s">
        <v>1303</v>
      </c>
      <c r="R3" s="1">
        <f t="shared" ref="R3:R11" si="3">R2+1</f>
        <v>11</v>
      </c>
      <c r="S3" s="13" t="s">
        <v>1304</v>
      </c>
      <c r="V3" s="1" t="str">
        <f>TEXT(hps,tiko1)</f>
        <v>69,862,000</v>
      </c>
    </row>
    <row r="4" spans="1:25">
      <c r="A4" s="5"/>
      <c r="B4" s="1">
        <f>ROUNDDOWN(A2-B3-B2,-9)</f>
        <v>0</v>
      </c>
      <c r="C4" s="1" t="str">
        <f t="shared" si="0"/>
        <v>0</v>
      </c>
      <c r="D4" s="1">
        <f t="shared" si="1"/>
        <v>0</v>
      </c>
      <c r="G4" s="1" t="str">
        <f>IF(D4=0,"",(VLOOKUP(D4,$P$2:$Q$11,2)))</f>
        <v/>
      </c>
      <c r="H4" s="1" t="str">
        <f>IF(D4=1,"Satu ",G4)</f>
        <v/>
      </c>
      <c r="I4" s="1" t="str">
        <f>IF(E3=0,IF(F4=0,H4,F4),"")</f>
        <v/>
      </c>
      <c r="J4" s="1" t="str">
        <f>IF(D2+D3+D4=0,"","Milyar ")</f>
        <v/>
      </c>
      <c r="K4" s="1" t="str">
        <f t="shared" si="2"/>
        <v/>
      </c>
      <c r="P4" s="1">
        <f t="shared" ref="P4:P11" si="4">P3+1</f>
        <v>2</v>
      </c>
      <c r="Q4" s="1" t="s">
        <v>1305</v>
      </c>
      <c r="R4" s="1">
        <f t="shared" si="3"/>
        <v>12</v>
      </c>
      <c r="S4" s="13" t="s">
        <v>1306</v>
      </c>
    </row>
    <row r="5" spans="1:25">
      <c r="A5" s="5"/>
      <c r="B5" s="1">
        <f>ROUNDDOWN(A2-B4-B3-B2,-8)</f>
        <v>0</v>
      </c>
      <c r="C5" s="1" t="str">
        <f t="shared" si="0"/>
        <v>0</v>
      </c>
      <c r="D5" s="1">
        <f t="shared" si="1"/>
        <v>0</v>
      </c>
      <c r="G5" s="1" t="str">
        <f>IF(D5=0,"",(VLOOKUP(D5,$P$2:$Q$11,2)))</f>
        <v/>
      </c>
      <c r="H5" s="1" t="str">
        <f>IF(D5=1,"Se",G5)</f>
        <v/>
      </c>
      <c r="I5" s="1" t="str">
        <f>IF(F5=0,H5,F5)</f>
        <v/>
      </c>
      <c r="J5" s="1" t="str">
        <f>IF(D5=1,"ratus ",IF(D5=0,"","Ratus "))</f>
        <v/>
      </c>
      <c r="K5" s="1" t="str">
        <f t="shared" si="2"/>
        <v/>
      </c>
      <c r="P5" s="1">
        <f t="shared" si="4"/>
        <v>3</v>
      </c>
      <c r="Q5" s="1" t="s">
        <v>1307</v>
      </c>
      <c r="R5" s="1">
        <f t="shared" si="3"/>
        <v>13</v>
      </c>
      <c r="S5" s="13" t="s">
        <v>1308</v>
      </c>
    </row>
    <row r="6" spans="1:25">
      <c r="A6" s="5"/>
      <c r="B6" s="1">
        <f>ROUNDDOWN(A2-B5-B4-B3-B2,-7)</f>
        <v>60000000</v>
      </c>
      <c r="C6" s="1" t="str">
        <f t="shared" si="0"/>
        <v>6</v>
      </c>
      <c r="D6" s="1">
        <f t="shared" si="1"/>
        <v>6</v>
      </c>
      <c r="E6" s="1">
        <f>IF(D6=1,D6*10+D7,0)</f>
        <v>0</v>
      </c>
      <c r="F6" s="1">
        <f>IF(E6=0,0,VLOOKUP(E6,$R$2:$S$11,2))</f>
        <v>0</v>
      </c>
      <c r="G6" s="1" t="str">
        <f t="shared" ref="G6:G15" si="5">IF(D6=0,"",(VLOOKUP(D6,$P$2:$Q$11,2)))</f>
        <v xml:space="preserve">Enam </v>
      </c>
      <c r="H6" s="1" t="str">
        <f>IF(D6=1,"Se",G6)</f>
        <v xml:space="preserve">Enam </v>
      </c>
      <c r="I6" s="1" t="str">
        <f>IF(F6=0,H6,F6)</f>
        <v xml:space="preserve">Enam </v>
      </c>
      <c r="J6" s="1" t="str">
        <f>IF(D6=0,"","Puluh ")</f>
        <v xml:space="preserve">Puluh </v>
      </c>
      <c r="K6" s="1" t="str">
        <f t="shared" si="2"/>
        <v xml:space="preserve">Puluh </v>
      </c>
      <c r="P6" s="1">
        <f t="shared" si="4"/>
        <v>4</v>
      </c>
      <c r="Q6" s="1" t="s">
        <v>1309</v>
      </c>
      <c r="R6" s="1">
        <f t="shared" si="3"/>
        <v>14</v>
      </c>
      <c r="S6" s="13" t="s">
        <v>1310</v>
      </c>
    </row>
    <row r="7" spans="1:25">
      <c r="A7" s="5"/>
      <c r="B7" s="1">
        <f>ROUNDDOWN(A2-B6-B5-B4-B3-B2,-6)</f>
        <v>9000000</v>
      </c>
      <c r="C7" s="1" t="str">
        <f t="shared" si="0"/>
        <v>9</v>
      </c>
      <c r="D7" s="1">
        <f t="shared" si="1"/>
        <v>9</v>
      </c>
      <c r="G7" s="1" t="str">
        <f t="shared" si="5"/>
        <v xml:space="preserve">Sembilan </v>
      </c>
      <c r="H7" s="1" t="str">
        <f>IF(D7=1,"Satu ",G7)</f>
        <v xml:space="preserve">Sembilan </v>
      </c>
      <c r="I7" s="1" t="str">
        <f>IF(E6=0,IF(F7=0,H7,F7),"")</f>
        <v xml:space="preserve">Sembilan </v>
      </c>
      <c r="J7" s="1" t="str">
        <f>IF(D7+D6+D5=0,"","Juta ")</f>
        <v xml:space="preserve">Juta </v>
      </c>
      <c r="K7" s="1" t="str">
        <f t="shared" si="2"/>
        <v xml:space="preserve">Juta </v>
      </c>
      <c r="P7" s="1">
        <f t="shared" si="4"/>
        <v>5</v>
      </c>
      <c r="Q7" s="1" t="s">
        <v>1311</v>
      </c>
      <c r="R7" s="1">
        <f t="shared" si="3"/>
        <v>15</v>
      </c>
      <c r="S7" s="13" t="s">
        <v>1312</v>
      </c>
    </row>
    <row r="8" spans="1:25">
      <c r="A8" s="5"/>
      <c r="B8" s="1">
        <f>ROUNDDOWN(A2-B7-B6-B5-B4-B3-B2,-5)</f>
        <v>800000</v>
      </c>
      <c r="C8" s="1" t="str">
        <f t="shared" si="0"/>
        <v>8</v>
      </c>
      <c r="D8" s="1">
        <f t="shared" si="1"/>
        <v>8</v>
      </c>
      <c r="G8" s="1" t="str">
        <f t="shared" si="5"/>
        <v xml:space="preserve">Delapan </v>
      </c>
      <c r="H8" s="1" t="str">
        <f>IF(D8=1,"Se",G8)</f>
        <v xml:space="preserve">Delapan </v>
      </c>
      <c r="I8" s="1" t="str">
        <f>IF(F8=0,H8,F8)</f>
        <v xml:space="preserve">Delapan </v>
      </c>
      <c r="J8" s="1" t="str">
        <f>IF(D8=1,"ratus ",IF(D8=0,"","Ratus "))</f>
        <v xml:space="preserve">Ratus </v>
      </c>
      <c r="K8" s="1" t="str">
        <f t="shared" si="2"/>
        <v xml:space="preserve">Ratus </v>
      </c>
      <c r="P8" s="1">
        <f t="shared" si="4"/>
        <v>6</v>
      </c>
      <c r="Q8" s="1" t="s">
        <v>1313</v>
      </c>
      <c r="R8" s="1">
        <f t="shared" si="3"/>
        <v>16</v>
      </c>
      <c r="S8" s="13" t="s">
        <v>1314</v>
      </c>
    </row>
    <row r="9" spans="1:25">
      <c r="A9" s="5"/>
      <c r="B9" s="1">
        <f>ROUNDDOWN(A2-B8-B7-B6-B5-B4-B3-B2,-4)</f>
        <v>60000</v>
      </c>
      <c r="C9" s="1" t="str">
        <f t="shared" si="0"/>
        <v>6</v>
      </c>
      <c r="D9" s="1">
        <f t="shared" si="1"/>
        <v>6</v>
      </c>
      <c r="E9" s="1">
        <f>IF(D9=1,D9*10+D10,0)</f>
        <v>0</v>
      </c>
      <c r="F9" s="1">
        <f>IF(E9=0,0,VLOOKUP(E9,$R$2:$S$11,2))</f>
        <v>0</v>
      </c>
      <c r="G9" s="1" t="str">
        <f t="shared" si="5"/>
        <v xml:space="preserve">Enam </v>
      </c>
      <c r="H9" s="1" t="str">
        <f>IF(D9=1,"Se",G9)</f>
        <v xml:space="preserve">Enam </v>
      </c>
      <c r="I9" s="1" t="str">
        <f>IF(F9=0,H9,F9)</f>
        <v xml:space="preserve">Enam </v>
      </c>
      <c r="J9" s="1" t="str">
        <f>IF(D9=0,"","Puluh ")</f>
        <v xml:space="preserve">Puluh </v>
      </c>
      <c r="K9" s="1" t="str">
        <f t="shared" si="2"/>
        <v xml:space="preserve">Puluh </v>
      </c>
      <c r="P9" s="1">
        <f t="shared" si="4"/>
        <v>7</v>
      </c>
      <c r="Q9" s="1" t="s">
        <v>1315</v>
      </c>
      <c r="R9" s="1">
        <f t="shared" si="3"/>
        <v>17</v>
      </c>
      <c r="S9" s="13" t="s">
        <v>1316</v>
      </c>
    </row>
    <row r="10" spans="1:25">
      <c r="A10" s="5"/>
      <c r="B10" s="1">
        <f>ROUNDDOWN(A2-B9-B8-B7-B6-B5-B4-B3-B2,-3)</f>
        <v>2000</v>
      </c>
      <c r="C10" s="1" t="str">
        <f t="shared" si="0"/>
        <v>2</v>
      </c>
      <c r="D10" s="1">
        <f t="shared" si="1"/>
        <v>2</v>
      </c>
      <c r="G10" s="1" t="str">
        <f t="shared" si="5"/>
        <v xml:space="preserve">Dua </v>
      </c>
      <c r="H10" s="1" t="str">
        <f>IF(AND(D10=1,D9+D8=0),"Se",IF(D10=1,"Satu ",G10))</f>
        <v xml:space="preserve">Dua </v>
      </c>
      <c r="I10" s="1" t="str">
        <f>IF(E9=0,IF(F10=0,H10,F10),"")</f>
        <v xml:space="preserve">Dua </v>
      </c>
      <c r="J10" s="1" t="str">
        <f>IF(AND(D10=1,D9+D8=0),"ribu ",IF(D10+D9+D8=0,"","Ribu "))</f>
        <v xml:space="preserve">Ribu </v>
      </c>
      <c r="K10" s="1" t="str">
        <f t="shared" si="2"/>
        <v xml:space="preserve">Ribu </v>
      </c>
      <c r="P10" s="1">
        <f t="shared" si="4"/>
        <v>8</v>
      </c>
      <c r="Q10" s="1" t="s">
        <v>1317</v>
      </c>
      <c r="R10" s="1">
        <f t="shared" si="3"/>
        <v>18</v>
      </c>
      <c r="S10" s="13" t="s">
        <v>1318</v>
      </c>
    </row>
    <row r="11" spans="1:25">
      <c r="A11" s="5"/>
      <c r="B11" s="1">
        <f>ROUNDDOWN(A2-B10-B9-B8-B7-B6-B5-B4-B3-B2,-2)</f>
        <v>0</v>
      </c>
      <c r="C11" s="1" t="str">
        <f t="shared" si="0"/>
        <v>0</v>
      </c>
      <c r="D11" s="1">
        <f t="shared" si="1"/>
        <v>0</v>
      </c>
      <c r="G11" s="1" t="str">
        <f t="shared" si="5"/>
        <v/>
      </c>
      <c r="H11" s="1" t="str">
        <f>IF(D11=1,"Se",G11)</f>
        <v/>
      </c>
      <c r="I11" s="1" t="str">
        <f>IF(F11=0,H11,F11)</f>
        <v/>
      </c>
      <c r="J11" s="1" t="str">
        <f>IF(D11=1,"ratus ",IF(D11=0,"","Ratus "))</f>
        <v/>
      </c>
      <c r="K11" s="1" t="str">
        <f t="shared" si="2"/>
        <v/>
      </c>
      <c r="P11" s="1">
        <f t="shared" si="4"/>
        <v>9</v>
      </c>
      <c r="Q11" s="1" t="s">
        <v>1319</v>
      </c>
      <c r="R11" s="1">
        <f t="shared" si="3"/>
        <v>19</v>
      </c>
      <c r="S11" s="13" t="s">
        <v>1320</v>
      </c>
    </row>
    <row r="12" spans="1:25">
      <c r="A12" s="5"/>
      <c r="B12" s="1">
        <f>ROUNDDOWN(A2-B11-B10-B9-B8-B7-B6-B5-B4-B3-B2,-1)</f>
        <v>0</v>
      </c>
      <c r="C12" s="1" t="str">
        <f t="shared" si="0"/>
        <v>0</v>
      </c>
      <c r="D12" s="1">
        <f t="shared" si="1"/>
        <v>0</v>
      </c>
      <c r="E12" s="1">
        <f>IF(D12=1,D12*10+D13,0)</f>
        <v>0</v>
      </c>
      <c r="F12" s="1">
        <f>IF(E12=0,0,VLOOKUP(E12,$R$2:$S$11,2))</f>
        <v>0</v>
      </c>
      <c r="G12" s="1" t="str">
        <f t="shared" si="5"/>
        <v/>
      </c>
      <c r="H12" s="1" t="str">
        <f>IF(D12=1,"Se",G12)</f>
        <v/>
      </c>
      <c r="I12" s="1" t="str">
        <f>IF(F12=0,H12,F12)</f>
        <v/>
      </c>
      <c r="J12" s="1" t="str">
        <f>IF(D12=0,"","Puluh ")</f>
        <v/>
      </c>
      <c r="K12" s="1" t="str">
        <f t="shared" si="2"/>
        <v/>
      </c>
      <c r="S12" s="13"/>
    </row>
    <row r="13" spans="1:25">
      <c r="A13" s="5"/>
      <c r="B13" s="1">
        <f>ROUNDDOWN(A2-B12-B11-B10-B9-B8-B7-B6-B5-B4-B3-B2,0)</f>
        <v>0</v>
      </c>
      <c r="C13" s="1" t="str">
        <f t="shared" si="0"/>
        <v>0</v>
      </c>
      <c r="D13" s="1">
        <f t="shared" si="1"/>
        <v>0</v>
      </c>
      <c r="G13" s="1" t="str">
        <f t="shared" si="5"/>
        <v/>
      </c>
      <c r="H13" s="1" t="str">
        <f>IF(D13=1,"Satu ",G13)</f>
        <v/>
      </c>
      <c r="I13" s="1" t="str">
        <f>IF(E12=0,IF(F13=0,H13,F13),"")</f>
        <v/>
      </c>
      <c r="J13" s="1" t="str">
        <f>IF(D14+D15=0,"","Koma ")</f>
        <v/>
      </c>
      <c r="K13" s="1" t="str">
        <f t="shared" si="2"/>
        <v/>
      </c>
      <c r="S13" s="13"/>
    </row>
    <row r="14" spans="1:25">
      <c r="A14" s="5"/>
      <c r="B14" s="1">
        <f>ROUNDDOWN(A2-B13-B12-B11-B10-B9-B8-B7-B6-B5-B4-B3-B2,1)*10</f>
        <v>0</v>
      </c>
      <c r="C14" s="1" t="str">
        <f t="shared" si="0"/>
        <v>0</v>
      </c>
      <c r="D14" s="1">
        <f t="shared" si="1"/>
        <v>0</v>
      </c>
      <c r="E14" s="1">
        <f>IF(D14=1,D14*10+D15,0)</f>
        <v>0</v>
      </c>
      <c r="F14" s="1">
        <f>IF(E14=0,0,VLOOKUP(E14,$R$2:$S$11,2))</f>
        <v>0</v>
      </c>
      <c r="G14" s="1" t="str">
        <f t="shared" si="5"/>
        <v/>
      </c>
      <c r="H14" s="1" t="str">
        <f>IF(D14=1,"se",G14)</f>
        <v/>
      </c>
      <c r="I14" s="1" t="str">
        <f>IF(F14=0,H14,F14)</f>
        <v/>
      </c>
      <c r="J14" s="1" t="str">
        <f>IF(D14=0,"","Puluh ")</f>
        <v/>
      </c>
      <c r="K14" s="1" t="str">
        <f t="shared" si="2"/>
        <v/>
      </c>
      <c r="S14" s="13"/>
    </row>
    <row r="15" spans="1:25">
      <c r="A15" s="5"/>
      <c r="B15" s="1">
        <f>ROUND(A2-B14/10-B13-B12-B11-B10-B9-B8-B7-B6-B5-B4-B3-B2,2)</f>
        <v>0</v>
      </c>
      <c r="C15" s="1" t="str">
        <f>RIGHT(B15)</f>
        <v>0</v>
      </c>
      <c r="D15" s="1">
        <f t="shared" si="1"/>
        <v>0</v>
      </c>
      <c r="G15" s="1" t="str">
        <f t="shared" si="5"/>
        <v/>
      </c>
      <c r="H15" s="1" t="str">
        <f>IF(D15=1,"Satu ",G15)</f>
        <v/>
      </c>
      <c r="I15" s="1" t="str">
        <f>IF(E14+E15=0,IF(F15=0,H15,F15),"")</f>
        <v/>
      </c>
      <c r="J15" s="1" t="str">
        <f>IF(D14+D15=0,"Rupiah","Perseratus Rupiah")</f>
        <v>Rupiah</v>
      </c>
      <c r="K15" s="1" t="str">
        <f t="shared" si="2"/>
        <v>Rupiah</v>
      </c>
      <c r="S15" s="13"/>
    </row>
    <row r="16" spans="1:25">
      <c r="A16" s="5"/>
      <c r="S16" s="13"/>
    </row>
    <row r="17" spans="1:19">
      <c r="A17" s="5"/>
      <c r="D17" s="6"/>
      <c r="S17" s="13"/>
    </row>
    <row r="18" spans="1:19">
      <c r="A18" s="5"/>
      <c r="S18" s="13"/>
    </row>
    <row r="19" spans="1:19">
      <c r="A19" s="5"/>
      <c r="S19" s="13"/>
    </row>
    <row r="20" spans="1:19">
      <c r="A20" s="7"/>
      <c r="B20" s="8"/>
      <c r="C20" s="8"/>
      <c r="D20" s="8"/>
      <c r="E20" s="8"/>
      <c r="F20" s="8"/>
      <c r="G20" s="8"/>
      <c r="H20" s="8"/>
      <c r="I20" s="8"/>
      <c r="J20" s="8"/>
      <c r="K20" s="8"/>
      <c r="L20" s="8"/>
      <c r="M20" s="8"/>
      <c r="N20" s="8"/>
      <c r="O20" s="8"/>
      <c r="P20" s="8"/>
      <c r="Q20" s="8"/>
      <c r="R20" s="8"/>
      <c r="S20" s="17"/>
    </row>
    <row r="21" spans="1:19">
      <c r="A21" s="2" t="str">
        <f>I22&amp;K22&amp;I23&amp;K23&amp;I24&amp;K24&amp;I25&amp;K25&amp;I26&amp;K26&amp;I27&amp;K27&amp;I28&amp;K28&amp;I29&amp;K29&amp;I30&amp;K30&amp;I31&amp;K31&amp;I32&amp;K32&amp;I33&amp;K33&amp;I34&amp;K34&amp;I35&amp;K35</f>
        <v>Enam Puluh Sembilan Juta Delapan Ratus Enam Puluh Dua Ribu Rupiah</v>
      </c>
      <c r="B21" s="3"/>
      <c r="C21" s="3"/>
      <c r="D21" s="3"/>
      <c r="E21" s="3"/>
      <c r="F21" s="3"/>
      <c r="G21" s="3"/>
      <c r="H21" s="3"/>
      <c r="I21" s="3"/>
      <c r="J21" s="3"/>
      <c r="K21" s="3"/>
      <c r="L21" s="3"/>
      <c r="M21" s="3"/>
      <c r="N21" s="3"/>
      <c r="O21" s="3"/>
      <c r="P21" s="3"/>
      <c r="Q21" s="3"/>
      <c r="R21" s="3"/>
      <c r="S21" s="9"/>
    </row>
    <row r="22" spans="1:19">
      <c r="A22" s="4">
        <f>Nego!J37</f>
        <v>69862000</v>
      </c>
      <c r="B22" s="1">
        <f>ROUNDDOWN(A22,-11)</f>
        <v>0</v>
      </c>
      <c r="C22" s="1" t="str">
        <f t="shared" ref="C22:C34" si="6">LEFT(B22)</f>
        <v>0</v>
      </c>
      <c r="D22" s="1">
        <f t="shared" ref="D22:D35" si="7">VALUE(C22)</f>
        <v>0</v>
      </c>
      <c r="G22" s="1" t="str">
        <f>IF(D22=0,"",(VLOOKUP(D22,$P$2:$Q$11,2)))</f>
        <v/>
      </c>
      <c r="H22" s="1" t="str">
        <f>IF(D22=1,"Se",G22)</f>
        <v/>
      </c>
      <c r="I22" s="1" t="str">
        <f>IF(F22=0,H22,F22)</f>
        <v/>
      </c>
      <c r="J22" s="1" t="str">
        <f>IF(D22=1,"ratus ",IF(D22=0,"","Ratus "))</f>
        <v/>
      </c>
      <c r="K22" s="1" t="str">
        <f t="shared" ref="K22:K35" si="8">IF(E22=0,J22,"")</f>
        <v/>
      </c>
      <c r="P22" s="1">
        <v>0</v>
      </c>
      <c r="R22" s="1">
        <f>P31+1</f>
        <v>10</v>
      </c>
      <c r="S22" s="13" t="s">
        <v>1300</v>
      </c>
    </row>
    <row r="23" spans="1:19">
      <c r="A23" s="5" t="s">
        <v>1321</v>
      </c>
      <c r="B23" s="1">
        <f>ROUNDDOWN(A22-B22,-10)</f>
        <v>0</v>
      </c>
      <c r="C23" s="1" t="str">
        <f t="shared" si="6"/>
        <v>0</v>
      </c>
      <c r="D23" s="1">
        <f t="shared" si="7"/>
        <v>0</v>
      </c>
      <c r="E23" s="1">
        <f>IF(D23=1,D23*10+D24,0)</f>
        <v>0</v>
      </c>
      <c r="F23" s="1">
        <f>IF(E23=0,0,VLOOKUP(E23,$R$2:$S$11,2))</f>
        <v>0</v>
      </c>
      <c r="G23" s="1" t="str">
        <f>IF(D23=0,"",(VLOOKUP(D23,$P$2:$Q$11,2)))</f>
        <v/>
      </c>
      <c r="H23" s="1" t="str">
        <f>IF(D23=1,"Se",G23)</f>
        <v/>
      </c>
      <c r="I23" s="1" t="str">
        <f>IF(F23=0,H23,F23)</f>
        <v/>
      </c>
      <c r="J23" s="1" t="str">
        <f>IF(D23=0,"","Puluh ")</f>
        <v/>
      </c>
      <c r="K23" s="1" t="str">
        <f t="shared" si="8"/>
        <v/>
      </c>
      <c r="L23" s="1" t="str">
        <f>IF(F23=0,"","Milyar ")</f>
        <v/>
      </c>
      <c r="P23" s="1">
        <v>1</v>
      </c>
      <c r="Q23" s="1" t="s">
        <v>1303</v>
      </c>
      <c r="R23" s="1">
        <f t="shared" ref="R23:R31" si="9">R22+1</f>
        <v>11</v>
      </c>
      <c r="S23" s="13" t="s">
        <v>1304</v>
      </c>
    </row>
    <row r="24" spans="1:19">
      <c r="A24" s="5"/>
      <c r="B24" s="1">
        <f>ROUNDDOWN(A22-B23-B22,-9)</f>
        <v>0</v>
      </c>
      <c r="C24" s="1" t="str">
        <f t="shared" si="6"/>
        <v>0</v>
      </c>
      <c r="D24" s="1">
        <f t="shared" si="7"/>
        <v>0</v>
      </c>
      <c r="G24" s="1" t="str">
        <f>IF(D24=0,"",(VLOOKUP(D24,$P$2:$Q$11,2)))</f>
        <v/>
      </c>
      <c r="H24" s="1" t="str">
        <f>IF(D24=1,"Satu ",G24)</f>
        <v/>
      </c>
      <c r="I24" s="1" t="str">
        <f>IF(E23=0,IF(F24=0,H24,F24),"")</f>
        <v/>
      </c>
      <c r="J24" s="1" t="str">
        <f>IF(D22+D23+D24=0,"","Milyar ")</f>
        <v/>
      </c>
      <c r="K24" s="1" t="str">
        <f t="shared" si="8"/>
        <v/>
      </c>
      <c r="P24" s="1">
        <f t="shared" ref="P24:P31" si="10">P23+1</f>
        <v>2</v>
      </c>
      <c r="Q24" s="1" t="s">
        <v>1305</v>
      </c>
      <c r="R24" s="1">
        <f t="shared" si="9"/>
        <v>12</v>
      </c>
      <c r="S24" s="13" t="s">
        <v>1306</v>
      </c>
    </row>
    <row r="25" spans="1:19">
      <c r="A25" s="5"/>
      <c r="B25" s="1">
        <f>ROUNDDOWN(A22-B24-B23-B22,-8)</f>
        <v>0</v>
      </c>
      <c r="C25" s="1" t="str">
        <f t="shared" si="6"/>
        <v>0</v>
      </c>
      <c r="D25" s="1">
        <f t="shared" si="7"/>
        <v>0</v>
      </c>
      <c r="G25" s="1" t="str">
        <f>IF(D25=0,"",(VLOOKUP(D25,$P$2:$Q$11,2)))</f>
        <v/>
      </c>
      <c r="H25" s="1" t="str">
        <f>IF(D25=1,"Se",G25)</f>
        <v/>
      </c>
      <c r="I25" s="1" t="str">
        <f>IF(F25=0,H25,F25)</f>
        <v/>
      </c>
      <c r="J25" s="1" t="str">
        <f>IF(D25=1,"ratus ",IF(D25=0,"","Ratus "))</f>
        <v/>
      </c>
      <c r="K25" s="1" t="str">
        <f t="shared" si="8"/>
        <v/>
      </c>
      <c r="P25" s="1">
        <f t="shared" si="10"/>
        <v>3</v>
      </c>
      <c r="Q25" s="1" t="s">
        <v>1307</v>
      </c>
      <c r="R25" s="1">
        <f t="shared" si="9"/>
        <v>13</v>
      </c>
      <c r="S25" s="13" t="s">
        <v>1308</v>
      </c>
    </row>
    <row r="26" spans="1:19">
      <c r="A26" s="5"/>
      <c r="B26" s="1">
        <f>ROUNDDOWN(A22-B25-B24-B23-B22,-7)</f>
        <v>60000000</v>
      </c>
      <c r="C26" s="1" t="str">
        <f t="shared" si="6"/>
        <v>6</v>
      </c>
      <c r="D26" s="1">
        <f t="shared" si="7"/>
        <v>6</v>
      </c>
      <c r="E26" s="1">
        <f>IF(D26=1,D26*10+D27,0)</f>
        <v>0</v>
      </c>
      <c r="F26" s="1">
        <f>IF(E26=0,0,VLOOKUP(E26,$R$2:$S$11,2))</f>
        <v>0</v>
      </c>
      <c r="G26" s="1" t="str">
        <f t="shared" ref="G26:G35" si="11">IF(D26=0,"",(VLOOKUP(D26,$P$2:$Q$11,2)))</f>
        <v xml:space="preserve">Enam </v>
      </c>
      <c r="H26" s="1" t="str">
        <f>IF(D26=1,"Se",G26)</f>
        <v xml:space="preserve">Enam </v>
      </c>
      <c r="I26" s="1" t="str">
        <f>IF(F26=0,H26,F26)</f>
        <v xml:space="preserve">Enam </v>
      </c>
      <c r="J26" s="1" t="str">
        <f>IF(D26=0,"","Puluh ")</f>
        <v xml:space="preserve">Puluh </v>
      </c>
      <c r="K26" s="1" t="str">
        <f t="shared" si="8"/>
        <v xml:space="preserve">Puluh </v>
      </c>
      <c r="P26" s="1">
        <f t="shared" si="10"/>
        <v>4</v>
      </c>
      <c r="Q26" s="1" t="s">
        <v>1309</v>
      </c>
      <c r="R26" s="1">
        <f t="shared" si="9"/>
        <v>14</v>
      </c>
      <c r="S26" s="13" t="s">
        <v>1310</v>
      </c>
    </row>
    <row r="27" spans="1:19">
      <c r="A27" s="5"/>
      <c r="B27" s="1">
        <f>ROUNDDOWN(A22-B26-B25-B24-B23-B22,-6)</f>
        <v>9000000</v>
      </c>
      <c r="C27" s="1" t="str">
        <f t="shared" si="6"/>
        <v>9</v>
      </c>
      <c r="D27" s="1">
        <f t="shared" si="7"/>
        <v>9</v>
      </c>
      <c r="G27" s="1" t="str">
        <f t="shared" si="11"/>
        <v xml:space="preserve">Sembilan </v>
      </c>
      <c r="H27" s="1" t="str">
        <f>IF(D27=1,"Satu ",G27)</f>
        <v xml:space="preserve">Sembilan </v>
      </c>
      <c r="I27" s="1" t="str">
        <f>IF(E26=0,IF(F27=0,H27,F27),"")</f>
        <v xml:space="preserve">Sembilan </v>
      </c>
      <c r="J27" s="1" t="str">
        <f>IF(D27+D26+D25=0,"","Juta ")</f>
        <v xml:space="preserve">Juta </v>
      </c>
      <c r="K27" s="1" t="str">
        <f t="shared" si="8"/>
        <v xml:space="preserve">Juta </v>
      </c>
      <c r="P27" s="1">
        <f t="shared" si="10"/>
        <v>5</v>
      </c>
      <c r="Q27" s="1" t="s">
        <v>1311</v>
      </c>
      <c r="R27" s="1">
        <f t="shared" si="9"/>
        <v>15</v>
      </c>
      <c r="S27" s="13" t="s">
        <v>1312</v>
      </c>
    </row>
    <row r="28" spans="1:19">
      <c r="A28" s="5"/>
      <c r="B28" s="1">
        <f>ROUNDDOWN(A22-B27-B26-B25-B24-B23-B22,-5)</f>
        <v>800000</v>
      </c>
      <c r="C28" s="1" t="str">
        <f t="shared" si="6"/>
        <v>8</v>
      </c>
      <c r="D28" s="1">
        <f t="shared" si="7"/>
        <v>8</v>
      </c>
      <c r="G28" s="1" t="str">
        <f t="shared" si="11"/>
        <v xml:space="preserve">Delapan </v>
      </c>
      <c r="H28" s="1" t="str">
        <f>IF(D28=1,"Se",G28)</f>
        <v xml:space="preserve">Delapan </v>
      </c>
      <c r="I28" s="1" t="str">
        <f>IF(F28=0,H28,F28)</f>
        <v xml:space="preserve">Delapan </v>
      </c>
      <c r="J28" s="1" t="str">
        <f>IF(D28=1,"ratus ",IF(D28=0,"","Ratus "))</f>
        <v xml:space="preserve">Ratus </v>
      </c>
      <c r="K28" s="1" t="str">
        <f t="shared" si="8"/>
        <v xml:space="preserve">Ratus </v>
      </c>
      <c r="P28" s="1">
        <f t="shared" si="10"/>
        <v>6</v>
      </c>
      <c r="Q28" s="1" t="s">
        <v>1313</v>
      </c>
      <c r="R28" s="1">
        <f t="shared" si="9"/>
        <v>16</v>
      </c>
      <c r="S28" s="13" t="s">
        <v>1314</v>
      </c>
    </row>
    <row r="29" spans="1:19">
      <c r="A29" s="5"/>
      <c r="B29" s="1">
        <f>ROUNDDOWN(A22-B28-B27-B26-B25-B24-B23-B22,-4)</f>
        <v>60000</v>
      </c>
      <c r="C29" s="1" t="str">
        <f t="shared" si="6"/>
        <v>6</v>
      </c>
      <c r="D29" s="1">
        <f t="shared" si="7"/>
        <v>6</v>
      </c>
      <c r="E29" s="1">
        <f>IF(D29=1,D29*10+D30,0)</f>
        <v>0</v>
      </c>
      <c r="F29" s="1">
        <f>IF(E29=0,0,VLOOKUP(E29,$R$2:$S$11,2))</f>
        <v>0</v>
      </c>
      <c r="G29" s="1" t="str">
        <f t="shared" si="11"/>
        <v xml:space="preserve">Enam </v>
      </c>
      <c r="H29" s="1" t="str">
        <f>IF(D29=1,"Se",G29)</f>
        <v xml:space="preserve">Enam </v>
      </c>
      <c r="I29" s="1" t="str">
        <f>IF(F29=0,H29,F29)</f>
        <v xml:space="preserve">Enam </v>
      </c>
      <c r="J29" s="1" t="str">
        <f>IF(D29=0,"","Puluh ")</f>
        <v xml:space="preserve">Puluh </v>
      </c>
      <c r="K29" s="1" t="str">
        <f t="shared" si="8"/>
        <v xml:space="preserve">Puluh </v>
      </c>
      <c r="P29" s="1">
        <f t="shared" si="10"/>
        <v>7</v>
      </c>
      <c r="Q29" s="1" t="s">
        <v>1315</v>
      </c>
      <c r="R29" s="1">
        <f t="shared" si="9"/>
        <v>17</v>
      </c>
      <c r="S29" s="13" t="s">
        <v>1316</v>
      </c>
    </row>
    <row r="30" spans="1:19">
      <c r="A30" s="5"/>
      <c r="B30" s="1">
        <f>ROUNDDOWN(A22-B29-B28-B27-B26-B25-B24-B23-B22,-3)</f>
        <v>2000</v>
      </c>
      <c r="C30" s="1" t="str">
        <f t="shared" si="6"/>
        <v>2</v>
      </c>
      <c r="D30" s="1">
        <f t="shared" si="7"/>
        <v>2</v>
      </c>
      <c r="G30" s="1" t="str">
        <f t="shared" si="11"/>
        <v xml:space="preserve">Dua </v>
      </c>
      <c r="H30" s="1" t="str">
        <f>IF(AND(D30=1,D29+D28=0),"Se",IF(D30=1,"Satu ",G30))</f>
        <v xml:space="preserve">Dua </v>
      </c>
      <c r="I30" s="1" t="str">
        <f>IF(E29=0,IF(F30=0,H30,F30),"")</f>
        <v xml:space="preserve">Dua </v>
      </c>
      <c r="J30" s="1" t="str">
        <f>IF(AND(D30=1,D29+D28=0),"ribu ",IF(D30+D29+D28=0,"","Ribu "))</f>
        <v xml:space="preserve">Ribu </v>
      </c>
      <c r="K30" s="1" t="str">
        <f t="shared" si="8"/>
        <v xml:space="preserve">Ribu </v>
      </c>
      <c r="P30" s="1">
        <f t="shared" si="10"/>
        <v>8</v>
      </c>
      <c r="Q30" s="1" t="s">
        <v>1317</v>
      </c>
      <c r="R30" s="1">
        <f t="shared" si="9"/>
        <v>18</v>
      </c>
      <c r="S30" s="13" t="s">
        <v>1318</v>
      </c>
    </row>
    <row r="31" spans="1:19">
      <c r="A31" s="5"/>
      <c r="B31" s="1">
        <f>ROUNDDOWN(A22-B30-B29-B28-B27-B26-B25-B24-B23-B22,-2)</f>
        <v>0</v>
      </c>
      <c r="C31" s="1" t="str">
        <f t="shared" si="6"/>
        <v>0</v>
      </c>
      <c r="D31" s="1">
        <f t="shared" si="7"/>
        <v>0</v>
      </c>
      <c r="G31" s="1" t="str">
        <f t="shared" si="11"/>
        <v/>
      </c>
      <c r="H31" s="1" t="str">
        <f>IF(D31=1,"Se",G31)</f>
        <v/>
      </c>
      <c r="I31" s="1" t="str">
        <f>IF(F31=0,H31,F31)</f>
        <v/>
      </c>
      <c r="J31" s="1" t="str">
        <f>IF(D31=1,"ratus ",IF(D31=0,"","Ratus "))</f>
        <v/>
      </c>
      <c r="K31" s="1" t="str">
        <f t="shared" si="8"/>
        <v/>
      </c>
      <c r="P31" s="1">
        <f t="shared" si="10"/>
        <v>9</v>
      </c>
      <c r="Q31" s="1" t="s">
        <v>1319</v>
      </c>
      <c r="R31" s="1">
        <f t="shared" si="9"/>
        <v>19</v>
      </c>
      <c r="S31" s="13" t="s">
        <v>1320</v>
      </c>
    </row>
    <row r="32" spans="1:19">
      <c r="A32" s="5"/>
      <c r="B32" s="1">
        <f>ROUNDDOWN(A22-B31-B30-B29-B28-B27-B26-B25-B24-B23-B22,-1)</f>
        <v>0</v>
      </c>
      <c r="C32" s="1" t="str">
        <f t="shared" si="6"/>
        <v>0</v>
      </c>
      <c r="D32" s="1">
        <f t="shared" si="7"/>
        <v>0</v>
      </c>
      <c r="E32" s="1">
        <f>IF(D32=1,D32*10+D33,0)</f>
        <v>0</v>
      </c>
      <c r="F32" s="1">
        <f>IF(E32=0,0,VLOOKUP(E32,$R$2:$S$11,2))</f>
        <v>0</v>
      </c>
      <c r="G32" s="1" t="str">
        <f t="shared" si="11"/>
        <v/>
      </c>
      <c r="H32" s="1" t="str">
        <f>IF(D32=1,"Se",G32)</f>
        <v/>
      </c>
      <c r="I32" s="1" t="str">
        <f>IF(F32=0,H32,F32)</f>
        <v/>
      </c>
      <c r="J32" s="1" t="str">
        <f>IF(D32=0,"","Puluh ")</f>
        <v/>
      </c>
      <c r="K32" s="1" t="str">
        <f t="shared" si="8"/>
        <v/>
      </c>
      <c r="S32" s="13"/>
    </row>
    <row r="33" spans="1:19">
      <c r="A33" s="5"/>
      <c r="B33" s="1">
        <f>ROUNDDOWN(A22-B32-B31-B30-B29-B28-B27-B26-B25-B24-B23-B22,0)</f>
        <v>0</v>
      </c>
      <c r="C33" s="1" t="str">
        <f t="shared" si="6"/>
        <v>0</v>
      </c>
      <c r="D33" s="1">
        <f t="shared" si="7"/>
        <v>0</v>
      </c>
      <c r="G33" s="1" t="str">
        <f t="shared" si="11"/>
        <v/>
      </c>
      <c r="H33" s="1" t="str">
        <f>IF(D33=1,"Satu ",G33)</f>
        <v/>
      </c>
      <c r="I33" s="1" t="str">
        <f>IF(E32=0,IF(F33=0,H33,F33),"")</f>
        <v/>
      </c>
      <c r="J33" s="1" t="str">
        <f>IF(D34+D35=0,"","Koma ")</f>
        <v/>
      </c>
      <c r="K33" s="1" t="str">
        <f t="shared" si="8"/>
        <v/>
      </c>
      <c r="S33" s="13"/>
    </row>
    <row r="34" spans="1:19">
      <c r="A34" s="5"/>
      <c r="B34" s="1">
        <f>ROUNDDOWN(A22-B33-B32-B31-B30-B29-B28-B27-B26-B25-B24-B23-B22,1)*10</f>
        <v>0</v>
      </c>
      <c r="C34" s="1" t="str">
        <f t="shared" si="6"/>
        <v>0</v>
      </c>
      <c r="D34" s="1">
        <f t="shared" si="7"/>
        <v>0</v>
      </c>
      <c r="E34" s="1">
        <f>IF(D34=1,D34*10+D35,0)</f>
        <v>0</v>
      </c>
      <c r="F34" s="1">
        <f>IF(E34=0,0,VLOOKUP(E34,$R$2:$S$11,2))</f>
        <v>0</v>
      </c>
      <c r="G34" s="1" t="str">
        <f t="shared" si="11"/>
        <v/>
      </c>
      <c r="H34" s="1" t="str">
        <f>IF(D34=1,"se",G34)</f>
        <v/>
      </c>
      <c r="I34" s="1" t="str">
        <f>IF(F34=0,H34,F34)</f>
        <v/>
      </c>
      <c r="J34" s="1" t="str">
        <f>IF(D34=0,"","Puluh ")</f>
        <v/>
      </c>
      <c r="K34" s="1" t="str">
        <f t="shared" si="8"/>
        <v/>
      </c>
      <c r="S34" s="13"/>
    </row>
    <row r="35" spans="1:19">
      <c r="A35" s="5"/>
      <c r="B35" s="1">
        <f>ROUND(A22-B34/10-B33-B32-B31-B30-B29-B28-B27-B26-B25-B24-B23-B22,2)</f>
        <v>0</v>
      </c>
      <c r="C35" s="1" t="str">
        <f>RIGHT(B35)</f>
        <v>0</v>
      </c>
      <c r="D35" s="1">
        <f t="shared" si="7"/>
        <v>0</v>
      </c>
      <c r="G35" s="1" t="str">
        <f t="shared" si="11"/>
        <v/>
      </c>
      <c r="H35" s="1" t="str">
        <f>IF(D35=1,"Satu ",G35)</f>
        <v/>
      </c>
      <c r="I35" s="1" t="str">
        <f>IF(E34+E35=0,IF(F35=0,H35,F35),"")</f>
        <v/>
      </c>
      <c r="J35" s="1" t="str">
        <f>IF(D34+D35=0,"Rupiah","Perseratus Rupiah")</f>
        <v>Rupiah</v>
      </c>
      <c r="K35" s="1" t="str">
        <f t="shared" si="8"/>
        <v>Rupiah</v>
      </c>
      <c r="S35" s="13"/>
    </row>
    <row r="36" spans="1:19">
      <c r="A36" s="5"/>
      <c r="S36" s="13"/>
    </row>
    <row r="37" spans="1:19">
      <c r="A37" s="5"/>
      <c r="S37" s="13"/>
    </row>
    <row r="38" spans="1:19">
      <c r="A38" s="5"/>
      <c r="S38" s="13"/>
    </row>
    <row r="39" spans="1:19">
      <c r="A39" s="5"/>
      <c r="S39" s="13"/>
    </row>
    <row r="40" spans="1:19">
      <c r="A40" s="7"/>
      <c r="B40" s="8"/>
      <c r="C40" s="8"/>
      <c r="D40" s="8"/>
      <c r="E40" s="8"/>
      <c r="F40" s="8"/>
      <c r="G40" s="8"/>
      <c r="H40" s="8"/>
      <c r="I40" s="8"/>
      <c r="J40" s="8"/>
      <c r="K40" s="8"/>
      <c r="L40" s="8"/>
      <c r="M40" s="8"/>
      <c r="N40" s="8"/>
      <c r="O40" s="8"/>
      <c r="P40" s="8"/>
      <c r="Q40" s="8"/>
      <c r="R40" s="8"/>
      <c r="S40" s="17"/>
    </row>
    <row r="41" spans="1:19">
      <c r="A41" s="2" t="str">
        <f>I42&amp;K42&amp;I43&amp;K43&amp;I44&amp;K44&amp;I45&amp;K45&amp;I46&amp;K46&amp;I47&amp;K47&amp;I48&amp;K48&amp;I49&amp;K49&amp;I50&amp;K50&amp;I51&amp;K51&amp;I52&amp;K52&amp;I53&amp;K53&amp;I54&amp;K54&amp;I55&amp;K55</f>
        <v>Enam Puluh Sembilan Juta Delapan Ratus Enam Puluh Dua Ribu Rupiah</v>
      </c>
      <c r="B41" s="3"/>
      <c r="C41" s="3"/>
      <c r="D41" s="3"/>
      <c r="E41" s="3"/>
      <c r="F41" s="3"/>
      <c r="G41" s="3"/>
      <c r="H41" s="3"/>
      <c r="I41" s="3"/>
      <c r="J41" s="3"/>
      <c r="K41" s="3"/>
      <c r="L41" s="3"/>
      <c r="M41" s="3"/>
      <c r="N41" s="3"/>
      <c r="O41" s="3"/>
      <c r="P41" s="3"/>
      <c r="Q41" s="3"/>
      <c r="R41" s="3"/>
      <c r="S41" s="9"/>
    </row>
    <row r="42" spans="1:19">
      <c r="A42" s="4">
        <f>Input!$D$135</f>
        <v>69862000</v>
      </c>
      <c r="B42" s="1">
        <f>ROUNDDOWN(A42,-11)</f>
        <v>0</v>
      </c>
      <c r="C42" s="1" t="str">
        <f t="shared" ref="C42:C54" si="12">LEFT(B42)</f>
        <v>0</v>
      </c>
      <c r="D42" s="1">
        <f t="shared" ref="D42:D55" si="13">VALUE(C42)</f>
        <v>0</v>
      </c>
      <c r="G42" s="1" t="str">
        <f>IF(D42=0,"",(VLOOKUP(D42,$P$2:$Q$11,2)))</f>
        <v/>
      </c>
      <c r="H42" s="1" t="str">
        <f>IF(D42=1,"Se",G42)</f>
        <v/>
      </c>
      <c r="I42" s="1" t="str">
        <f>IF(F42=0,H42,F42)</f>
        <v/>
      </c>
      <c r="J42" s="1" t="str">
        <f>IF(D42=1,"ratus ",IF(D42=0,"","Ratus "))</f>
        <v/>
      </c>
      <c r="K42" s="1" t="str">
        <f t="shared" ref="K42:K55" si="14">IF(E42=0,J42,"")</f>
        <v/>
      </c>
      <c r="P42" s="1">
        <v>0</v>
      </c>
      <c r="R42" s="1">
        <f>P51+1</f>
        <v>10</v>
      </c>
      <c r="S42" s="13" t="s">
        <v>1300</v>
      </c>
    </row>
    <row r="43" spans="1:19">
      <c r="A43" s="5" t="s">
        <v>1322</v>
      </c>
      <c r="B43" s="1">
        <f>ROUNDDOWN(A42-B42,-10)</f>
        <v>0</v>
      </c>
      <c r="C43" s="1" t="str">
        <f t="shared" si="12"/>
        <v>0</v>
      </c>
      <c r="D43" s="1">
        <f t="shared" si="13"/>
        <v>0</v>
      </c>
      <c r="E43" s="1">
        <f>IF(D43=1,D43*10+D44,0)</f>
        <v>0</v>
      </c>
      <c r="F43" s="1">
        <f>IF(E43=0,0,VLOOKUP(E43,$R$2:$S$11,2))</f>
        <v>0</v>
      </c>
      <c r="G43" s="1" t="str">
        <f>IF(D43=0,"",(VLOOKUP(D43,$P$2:$Q$11,2)))</f>
        <v/>
      </c>
      <c r="H43" s="1" t="str">
        <f>IF(D43=1,"Se",G43)</f>
        <v/>
      </c>
      <c r="I43" s="1" t="str">
        <f>IF(F43=0,H43,F43)</f>
        <v/>
      </c>
      <c r="J43" s="1" t="str">
        <f>IF(D43=0,"","Puluh ")</f>
        <v/>
      </c>
      <c r="K43" s="1" t="str">
        <f t="shared" si="14"/>
        <v/>
      </c>
      <c r="L43" s="1" t="str">
        <f>IF(F43=0,"","Milyar ")</f>
        <v/>
      </c>
      <c r="P43" s="1">
        <v>1</v>
      </c>
      <c r="Q43" s="1" t="s">
        <v>1303</v>
      </c>
      <c r="R43" s="1">
        <f t="shared" ref="R43:R51" si="15">R42+1</f>
        <v>11</v>
      </c>
      <c r="S43" s="13" t="s">
        <v>1304</v>
      </c>
    </row>
    <row r="44" spans="1:19">
      <c r="A44" s="5"/>
      <c r="B44" s="1">
        <f>ROUNDDOWN(A42-B43-B42,-9)</f>
        <v>0</v>
      </c>
      <c r="C44" s="1" t="str">
        <f t="shared" si="12"/>
        <v>0</v>
      </c>
      <c r="D44" s="1">
        <f t="shared" si="13"/>
        <v>0</v>
      </c>
      <c r="G44" s="1" t="str">
        <f>IF(D44=0,"",(VLOOKUP(D44,$P$2:$Q$11,2)))</f>
        <v/>
      </c>
      <c r="H44" s="1" t="str">
        <f>IF(D44=1,"Satu ",G44)</f>
        <v/>
      </c>
      <c r="I44" s="1" t="str">
        <f>IF(E43=0,IF(F44=0,H44,F44),"")</f>
        <v/>
      </c>
      <c r="J44" s="1" t="str">
        <f>IF(D42+D43+D44=0,"","Milyar ")</f>
        <v/>
      </c>
      <c r="K44" s="1" t="str">
        <f t="shared" si="14"/>
        <v/>
      </c>
      <c r="P44" s="1">
        <f t="shared" ref="P44:P51" si="16">P43+1</f>
        <v>2</v>
      </c>
      <c r="Q44" s="1" t="s">
        <v>1305</v>
      </c>
      <c r="R44" s="1">
        <f t="shared" si="15"/>
        <v>12</v>
      </c>
      <c r="S44" s="13" t="s">
        <v>1306</v>
      </c>
    </row>
    <row r="45" spans="1:19">
      <c r="A45" s="5"/>
      <c r="B45" s="1">
        <f>ROUNDDOWN(A42-B44-B43-B42,-8)</f>
        <v>0</v>
      </c>
      <c r="C45" s="1" t="str">
        <f t="shared" si="12"/>
        <v>0</v>
      </c>
      <c r="D45" s="1">
        <f t="shared" si="13"/>
        <v>0</v>
      </c>
      <c r="G45" s="1" t="str">
        <f>IF(D45=0,"",(VLOOKUP(D45,$P$2:$Q$11,2)))</f>
        <v/>
      </c>
      <c r="H45" s="1" t="str">
        <f>IF(D45=1,"Se",G45)</f>
        <v/>
      </c>
      <c r="I45" s="1" t="str">
        <f>IF(F45=0,H45,F45)</f>
        <v/>
      </c>
      <c r="J45" s="1" t="str">
        <f>IF(D45=1,"ratus ",IF(D45=0,"","Ratus "))</f>
        <v/>
      </c>
      <c r="K45" s="1" t="str">
        <f t="shared" si="14"/>
        <v/>
      </c>
      <c r="P45" s="1">
        <f t="shared" si="16"/>
        <v>3</v>
      </c>
      <c r="Q45" s="1" t="s">
        <v>1307</v>
      </c>
      <c r="R45" s="1">
        <f t="shared" si="15"/>
        <v>13</v>
      </c>
      <c r="S45" s="13" t="s">
        <v>1308</v>
      </c>
    </row>
    <row r="46" spans="1:19">
      <c r="A46" s="5"/>
      <c r="B46" s="1">
        <f>ROUNDDOWN(A42-B45-B44-B43-B42,-7)</f>
        <v>60000000</v>
      </c>
      <c r="C46" s="1" t="str">
        <f t="shared" si="12"/>
        <v>6</v>
      </c>
      <c r="D46" s="1">
        <f t="shared" si="13"/>
        <v>6</v>
      </c>
      <c r="E46" s="1">
        <f>IF(D46=1,D46*10+D47,0)</f>
        <v>0</v>
      </c>
      <c r="F46" s="1">
        <f>IF(E46=0,0,VLOOKUP(E46,$R$2:$S$11,2))</f>
        <v>0</v>
      </c>
      <c r="G46" s="1" t="str">
        <f t="shared" ref="G46:G55" si="17">IF(D46=0,"",(VLOOKUP(D46,$P$2:$Q$11,2)))</f>
        <v xml:space="preserve">Enam </v>
      </c>
      <c r="H46" s="1" t="str">
        <f>IF(D46=1,"Se",G46)</f>
        <v xml:space="preserve">Enam </v>
      </c>
      <c r="I46" s="1" t="str">
        <f>IF(F46=0,H46,F46)</f>
        <v xml:space="preserve">Enam </v>
      </c>
      <c r="J46" s="1" t="str">
        <f>IF(D46=0,"","Puluh ")</f>
        <v xml:space="preserve">Puluh </v>
      </c>
      <c r="K46" s="1" t="str">
        <f t="shared" si="14"/>
        <v xml:space="preserve">Puluh </v>
      </c>
      <c r="P46" s="1">
        <f t="shared" si="16"/>
        <v>4</v>
      </c>
      <c r="Q46" s="1" t="s">
        <v>1309</v>
      </c>
      <c r="R46" s="1">
        <f t="shared" si="15"/>
        <v>14</v>
      </c>
      <c r="S46" s="13" t="s">
        <v>1310</v>
      </c>
    </row>
    <row r="47" spans="1:19">
      <c r="A47" s="5"/>
      <c r="B47" s="1">
        <f>ROUNDDOWN(A42-B46-B45-B44-B43-B42,-6)</f>
        <v>9000000</v>
      </c>
      <c r="C47" s="1" t="str">
        <f t="shared" si="12"/>
        <v>9</v>
      </c>
      <c r="D47" s="1">
        <f t="shared" si="13"/>
        <v>9</v>
      </c>
      <c r="G47" s="1" t="str">
        <f t="shared" si="17"/>
        <v xml:space="preserve">Sembilan </v>
      </c>
      <c r="H47" s="1" t="str">
        <f>IF(D47=1,"Satu ",G47)</f>
        <v xml:space="preserve">Sembilan </v>
      </c>
      <c r="I47" s="1" t="str">
        <f>IF(E46=0,IF(F47=0,H47,F47),"")</f>
        <v xml:space="preserve">Sembilan </v>
      </c>
      <c r="J47" s="1" t="str">
        <f>IF(D47+D46+D45=0,"","Juta ")</f>
        <v xml:space="preserve">Juta </v>
      </c>
      <c r="K47" s="1" t="str">
        <f t="shared" si="14"/>
        <v xml:space="preserve">Juta </v>
      </c>
      <c r="P47" s="1">
        <f t="shared" si="16"/>
        <v>5</v>
      </c>
      <c r="Q47" s="1" t="s">
        <v>1311</v>
      </c>
      <c r="R47" s="1">
        <f t="shared" si="15"/>
        <v>15</v>
      </c>
      <c r="S47" s="13" t="s">
        <v>1312</v>
      </c>
    </row>
    <row r="48" spans="1:19">
      <c r="A48" s="5"/>
      <c r="B48" s="1">
        <f>ROUNDDOWN(A42-B47-B46-B45-B44-B43-B42,-5)</f>
        <v>800000</v>
      </c>
      <c r="C48" s="1" t="str">
        <f t="shared" si="12"/>
        <v>8</v>
      </c>
      <c r="D48" s="1">
        <f t="shared" si="13"/>
        <v>8</v>
      </c>
      <c r="G48" s="1" t="str">
        <f t="shared" si="17"/>
        <v xml:space="preserve">Delapan </v>
      </c>
      <c r="H48" s="1" t="str">
        <f>IF(D48=1,"Se",G48)</f>
        <v xml:space="preserve">Delapan </v>
      </c>
      <c r="I48" s="1" t="str">
        <f>IF(F48=0,H48,F48)</f>
        <v xml:space="preserve">Delapan </v>
      </c>
      <c r="J48" s="1" t="str">
        <f>IF(D48=1,"ratus ",IF(D48=0,"","Ratus "))</f>
        <v xml:space="preserve">Ratus </v>
      </c>
      <c r="K48" s="1" t="str">
        <f t="shared" si="14"/>
        <v xml:space="preserve">Ratus </v>
      </c>
      <c r="P48" s="1">
        <f t="shared" si="16"/>
        <v>6</v>
      </c>
      <c r="Q48" s="1" t="s">
        <v>1313</v>
      </c>
      <c r="R48" s="1">
        <f t="shared" si="15"/>
        <v>16</v>
      </c>
      <c r="S48" s="13" t="s">
        <v>1314</v>
      </c>
    </row>
    <row r="49" spans="1:19">
      <c r="A49" s="5"/>
      <c r="B49" s="1">
        <f>ROUNDDOWN(A42-B48-B47-B46-B45-B44-B43-B42,-4)</f>
        <v>60000</v>
      </c>
      <c r="C49" s="1" t="str">
        <f t="shared" si="12"/>
        <v>6</v>
      </c>
      <c r="D49" s="1">
        <f t="shared" si="13"/>
        <v>6</v>
      </c>
      <c r="E49" s="1">
        <f>IF(D49=1,D49*10+D50,0)</f>
        <v>0</v>
      </c>
      <c r="F49" s="1">
        <f>IF(E49=0,0,VLOOKUP(E49,$R$2:$S$11,2))</f>
        <v>0</v>
      </c>
      <c r="G49" s="1" t="str">
        <f t="shared" si="17"/>
        <v xml:space="preserve">Enam </v>
      </c>
      <c r="H49" s="1" t="str">
        <f>IF(D49=1,"Se",G49)</f>
        <v xml:space="preserve">Enam </v>
      </c>
      <c r="I49" s="1" t="str">
        <f>IF(F49=0,H49,F49)</f>
        <v xml:space="preserve">Enam </v>
      </c>
      <c r="J49" s="1" t="str">
        <f>IF(D49=0,"","Puluh ")</f>
        <v xml:space="preserve">Puluh </v>
      </c>
      <c r="K49" s="1" t="str">
        <f t="shared" si="14"/>
        <v xml:space="preserve">Puluh </v>
      </c>
      <c r="P49" s="1">
        <f t="shared" si="16"/>
        <v>7</v>
      </c>
      <c r="Q49" s="1" t="s">
        <v>1315</v>
      </c>
      <c r="R49" s="1">
        <f t="shared" si="15"/>
        <v>17</v>
      </c>
      <c r="S49" s="13" t="s">
        <v>1316</v>
      </c>
    </row>
    <row r="50" spans="1:19">
      <c r="A50" s="5"/>
      <c r="B50" s="1">
        <f>ROUNDDOWN(A42-B49-B48-B47-B46-B45-B44-B43-B42,-3)</f>
        <v>2000</v>
      </c>
      <c r="C50" s="1" t="str">
        <f t="shared" si="12"/>
        <v>2</v>
      </c>
      <c r="D50" s="1">
        <f t="shared" si="13"/>
        <v>2</v>
      </c>
      <c r="G50" s="1" t="str">
        <f t="shared" si="17"/>
        <v xml:space="preserve">Dua </v>
      </c>
      <c r="H50" s="1" t="str">
        <f>IF(AND(D50=1,D49+D48=0),"Se",IF(D50=1,"Satu ",G50))</f>
        <v xml:space="preserve">Dua </v>
      </c>
      <c r="I50" s="1" t="str">
        <f>IF(E49=0,IF(F50=0,H50,F50),"")</f>
        <v xml:space="preserve">Dua </v>
      </c>
      <c r="J50" s="1" t="str">
        <f>IF(AND(D50=1,D49+D48=0),"ribu ",IF(D50+D49+D48=0,"","Ribu "))</f>
        <v xml:space="preserve">Ribu </v>
      </c>
      <c r="K50" s="1" t="str">
        <f t="shared" si="14"/>
        <v xml:space="preserve">Ribu </v>
      </c>
      <c r="P50" s="1">
        <f t="shared" si="16"/>
        <v>8</v>
      </c>
      <c r="Q50" s="1" t="s">
        <v>1317</v>
      </c>
      <c r="R50" s="1">
        <f t="shared" si="15"/>
        <v>18</v>
      </c>
      <c r="S50" s="13" t="s">
        <v>1318</v>
      </c>
    </row>
    <row r="51" spans="1:19">
      <c r="A51" s="5"/>
      <c r="B51" s="1">
        <f>ROUNDDOWN(A42-B50-B49-B48-B47-B46-B45-B44-B43-B42,-2)</f>
        <v>0</v>
      </c>
      <c r="C51" s="1" t="str">
        <f t="shared" si="12"/>
        <v>0</v>
      </c>
      <c r="D51" s="1">
        <f t="shared" si="13"/>
        <v>0</v>
      </c>
      <c r="G51" s="1" t="str">
        <f t="shared" si="17"/>
        <v/>
      </c>
      <c r="H51" s="1" t="str">
        <f>IF(D51=1,"Se",G51)</f>
        <v/>
      </c>
      <c r="I51" s="1" t="str">
        <f>IF(F51=0,H51,F51)</f>
        <v/>
      </c>
      <c r="J51" s="1" t="str">
        <f>IF(D51=1,"ratus ",IF(D51=0,"","Ratus "))</f>
        <v/>
      </c>
      <c r="K51" s="1" t="str">
        <f t="shared" si="14"/>
        <v/>
      </c>
      <c r="P51" s="1">
        <f t="shared" si="16"/>
        <v>9</v>
      </c>
      <c r="Q51" s="1" t="s">
        <v>1319</v>
      </c>
      <c r="R51" s="1">
        <f t="shared" si="15"/>
        <v>19</v>
      </c>
      <c r="S51" s="13" t="s">
        <v>1320</v>
      </c>
    </row>
    <row r="52" spans="1:19">
      <c r="A52" s="5"/>
      <c r="B52" s="1">
        <f>ROUNDDOWN(A42-B51-B50-B49-B48-B47-B46-B45-B44-B43-B42,-1)</f>
        <v>0</v>
      </c>
      <c r="C52" s="1" t="str">
        <f t="shared" si="12"/>
        <v>0</v>
      </c>
      <c r="D52" s="1">
        <f t="shared" si="13"/>
        <v>0</v>
      </c>
      <c r="E52" s="1">
        <f>IF(D52=1,D52*10+D53,0)</f>
        <v>0</v>
      </c>
      <c r="F52" s="1">
        <f>IF(E52=0,0,VLOOKUP(E52,$R$2:$S$11,2))</f>
        <v>0</v>
      </c>
      <c r="G52" s="1" t="str">
        <f t="shared" si="17"/>
        <v/>
      </c>
      <c r="H52" s="1" t="str">
        <f>IF(D52=1,"Se",G52)</f>
        <v/>
      </c>
      <c r="I52" s="1" t="str">
        <f>IF(F52=0,H52,F52)</f>
        <v/>
      </c>
      <c r="J52" s="1" t="str">
        <f>IF(D52=0,"","Puluh ")</f>
        <v/>
      </c>
      <c r="K52" s="1" t="str">
        <f t="shared" si="14"/>
        <v/>
      </c>
      <c r="S52" s="13"/>
    </row>
    <row r="53" spans="1:19">
      <c r="A53" s="5"/>
      <c r="B53" s="1">
        <f>ROUNDDOWN(A42-B52-B51-B50-B49-B48-B47-B46-B45-B44-B43-B42,0)</f>
        <v>0</v>
      </c>
      <c r="C53" s="1" t="str">
        <f t="shared" si="12"/>
        <v>0</v>
      </c>
      <c r="D53" s="1">
        <f t="shared" si="13"/>
        <v>0</v>
      </c>
      <c r="G53" s="1" t="str">
        <f t="shared" si="17"/>
        <v/>
      </c>
      <c r="H53" s="1" t="str">
        <f>IF(D53=1,"Satu ",G53)</f>
        <v/>
      </c>
      <c r="I53" s="1" t="str">
        <f>IF(E52=0,IF(F53=0,H53,F53),"")</f>
        <v/>
      </c>
      <c r="J53" s="1" t="str">
        <f>IF(D54+D55=0,"","Koma ")</f>
        <v/>
      </c>
      <c r="K53" s="1" t="str">
        <f t="shared" si="14"/>
        <v/>
      </c>
      <c r="S53" s="13"/>
    </row>
    <row r="54" spans="1:19">
      <c r="A54" s="5"/>
      <c r="B54" s="1">
        <f>ROUNDDOWN(A42-B53-B52-B51-B50-B49-B48-B47-B46-B45-B44-B43-B42,1)*10</f>
        <v>0</v>
      </c>
      <c r="C54" s="1" t="str">
        <f t="shared" si="12"/>
        <v>0</v>
      </c>
      <c r="D54" s="1">
        <f t="shared" si="13"/>
        <v>0</v>
      </c>
      <c r="E54" s="1">
        <f>IF(D54=1,D54*10+D55,0)</f>
        <v>0</v>
      </c>
      <c r="F54" s="1">
        <f>IF(E54=0,0,VLOOKUP(E54,$R$2:$S$11,2))</f>
        <v>0</v>
      </c>
      <c r="G54" s="1" t="str">
        <f t="shared" si="17"/>
        <v/>
      </c>
      <c r="H54" s="1" t="str">
        <f>IF(D54=1,"se",G54)</f>
        <v/>
      </c>
      <c r="I54" s="1" t="str">
        <f>IF(F54=0,H54,F54)</f>
        <v/>
      </c>
      <c r="J54" s="1" t="str">
        <f>IF(D54=0,"","Puluh ")</f>
        <v/>
      </c>
      <c r="K54" s="1" t="str">
        <f t="shared" si="14"/>
        <v/>
      </c>
      <c r="S54" s="13"/>
    </row>
    <row r="55" spans="1:19">
      <c r="A55" s="5"/>
      <c r="B55" s="1">
        <f>ROUND(A42-B54/10-B53-B52-B51-B50-B49-B48-B47-B46-B45-B44-B43-B42,2)</f>
        <v>0</v>
      </c>
      <c r="C55" s="1" t="str">
        <f>RIGHT(B55)</f>
        <v>0</v>
      </c>
      <c r="D55" s="1">
        <f t="shared" si="13"/>
        <v>0</v>
      </c>
      <c r="G55" s="1" t="str">
        <f t="shared" si="17"/>
        <v/>
      </c>
      <c r="H55" s="1" t="str">
        <f>IF(D55=1,"Satu ",G55)</f>
        <v/>
      </c>
      <c r="I55" s="1" t="str">
        <f>IF(E54+E55=0,IF(F55=0,H55,F55),"")</f>
        <v/>
      </c>
      <c r="J55" s="1" t="str">
        <f>IF(D54+D55=0,"Rupiah","Perseratus Rupiah")</f>
        <v>Rupiah</v>
      </c>
      <c r="K55" s="1" t="str">
        <f t="shared" si="14"/>
        <v>Rupiah</v>
      </c>
      <c r="S55" s="13"/>
    </row>
    <row r="56" spans="1:19">
      <c r="A56" s="5"/>
      <c r="S56" s="13"/>
    </row>
    <row r="57" spans="1:19">
      <c r="A57" s="5"/>
      <c r="S57" s="13"/>
    </row>
    <row r="58" spans="1:19">
      <c r="A58" s="5"/>
      <c r="S58" s="13"/>
    </row>
    <row r="59" spans="1:19">
      <c r="A59" s="5"/>
      <c r="S59" s="13"/>
    </row>
    <row r="60" spans="1:19">
      <c r="A60" s="7"/>
      <c r="B60" s="8"/>
      <c r="C60" s="8"/>
      <c r="D60" s="8"/>
      <c r="E60" s="8"/>
      <c r="F60" s="8"/>
      <c r="G60" s="8"/>
      <c r="H60" s="8"/>
      <c r="I60" s="8"/>
      <c r="J60" s="8"/>
      <c r="K60" s="8"/>
      <c r="L60" s="8"/>
      <c r="M60" s="8"/>
      <c r="N60" s="8"/>
      <c r="O60" s="8"/>
      <c r="P60" s="8"/>
      <c r="Q60" s="8"/>
      <c r="R60" s="8"/>
      <c r="S60" s="17"/>
    </row>
    <row r="61" spans="1:19">
      <c r="A61" s="2" t="str">
        <f>I62&amp;K62&amp;I63&amp;K63&amp;I64&amp;K64&amp;I65&amp;K65&amp;I66&amp;K66&amp;I67&amp;K67&amp;I68&amp;K68&amp;I69&amp;K69&amp;I70&amp;K70&amp;I71&amp;K71&amp;I72&amp;K72&amp;I73&amp;K73&amp;I74&amp;K74&amp;I75&amp;K75</f>
        <v>Seratus Sembilan Puluh Sembilan Juta Sembilan Ratus Sembilan Puluh Sembilan Ribu Delapan Ratus Rupiah</v>
      </c>
      <c r="B61" s="3"/>
      <c r="C61" s="3"/>
      <c r="D61" s="3"/>
      <c r="E61" s="3"/>
      <c r="F61" s="3"/>
      <c r="G61" s="3"/>
      <c r="H61" s="3"/>
      <c r="I61" s="3"/>
      <c r="J61" s="3"/>
      <c r="K61" s="3"/>
      <c r="L61" s="3"/>
      <c r="M61" s="3"/>
      <c r="N61" s="3"/>
      <c r="O61" s="3"/>
      <c r="P61" s="3"/>
      <c r="Q61" s="3"/>
      <c r="R61" s="3"/>
      <c r="S61" s="9"/>
    </row>
    <row r="62" spans="1:19">
      <c r="A62" s="4">
        <f>bu_hp</f>
        <v>199999800</v>
      </c>
      <c r="B62" s="1">
        <f>ROUNDDOWN(A62,-11)</f>
        <v>0</v>
      </c>
      <c r="C62" s="1" t="str">
        <f t="shared" ref="C62:C74" si="18">LEFT(B62)</f>
        <v>0</v>
      </c>
      <c r="D62" s="1">
        <f t="shared" ref="D62:D75" si="19">VALUE(C62)</f>
        <v>0</v>
      </c>
      <c r="G62" s="1" t="str">
        <f>IF(D62=0,"",(VLOOKUP(D62,$P$2:$Q$11,2)))</f>
        <v/>
      </c>
      <c r="H62" s="1" t="str">
        <f>IF(D62=1,"Se",G62)</f>
        <v/>
      </c>
      <c r="I62" s="1" t="str">
        <f>IF(F62=0,H62,F62)</f>
        <v/>
      </c>
      <c r="J62" s="1" t="str">
        <f>IF(D62=1,"ratus ",IF(D62=0,"","Ratus "))</f>
        <v/>
      </c>
      <c r="K62" s="1" t="str">
        <f t="shared" ref="K62:K75" si="20">IF(E62=0,J62,"")</f>
        <v/>
      </c>
      <c r="P62" s="1">
        <v>0</v>
      </c>
      <c r="R62" s="1">
        <f>P71+1</f>
        <v>10</v>
      </c>
      <c r="S62" s="13" t="s">
        <v>1300</v>
      </c>
    </row>
    <row r="63" spans="1:19">
      <c r="A63" s="5" t="s">
        <v>1110</v>
      </c>
      <c r="B63" s="1">
        <f>ROUNDDOWN(A62-B62,-10)</f>
        <v>0</v>
      </c>
      <c r="C63" s="1" t="str">
        <f t="shared" si="18"/>
        <v>0</v>
      </c>
      <c r="D63" s="1">
        <f t="shared" si="19"/>
        <v>0</v>
      </c>
      <c r="E63" s="1">
        <f>IF(D63=1,D63*10+D64,0)</f>
        <v>0</v>
      </c>
      <c r="F63" s="1">
        <f>IF(E63=0,0,VLOOKUP(E63,$R$2:$S$11,2))</f>
        <v>0</v>
      </c>
      <c r="G63" s="1" t="str">
        <f>IF(D63=0,"",(VLOOKUP(D63,$P$2:$Q$11,2)))</f>
        <v/>
      </c>
      <c r="H63" s="1" t="str">
        <f>IF(D63=1,"Se",G63)</f>
        <v/>
      </c>
      <c r="I63" s="1" t="str">
        <f>IF(F63=0,H63,F63)</f>
        <v/>
      </c>
      <c r="J63" s="1" t="str">
        <f>IF(D63=0,"","Puluh ")</f>
        <v/>
      </c>
      <c r="K63" s="1" t="str">
        <f t="shared" si="20"/>
        <v/>
      </c>
      <c r="L63" s="1" t="str">
        <f>IF(F63=0,"","Milyar ")</f>
        <v/>
      </c>
      <c r="P63" s="1">
        <v>1</v>
      </c>
      <c r="Q63" s="1" t="s">
        <v>1303</v>
      </c>
      <c r="R63" s="1">
        <f t="shared" ref="R63:R71" si="21">R62+1</f>
        <v>11</v>
      </c>
      <c r="S63" s="13" t="s">
        <v>1304</v>
      </c>
    </row>
    <row r="64" spans="1:19">
      <c r="A64" s="5"/>
      <c r="B64" s="1">
        <f>ROUNDDOWN(A62-B63-B62,-9)</f>
        <v>0</v>
      </c>
      <c r="C64" s="1" t="str">
        <f t="shared" si="18"/>
        <v>0</v>
      </c>
      <c r="D64" s="1">
        <f t="shared" si="19"/>
        <v>0</v>
      </c>
      <c r="G64" s="1" t="str">
        <f>IF(D64=0,"",(VLOOKUP(D64,$P$2:$Q$11,2)))</f>
        <v/>
      </c>
      <c r="H64" s="1" t="str">
        <f>IF(D64=1,"Satu ",G64)</f>
        <v/>
      </c>
      <c r="I64" s="1" t="str">
        <f>IF(E63=0,IF(F64=0,H64,F64),"")</f>
        <v/>
      </c>
      <c r="J64" s="1" t="str">
        <f>IF(D62+D63+D64=0,"","Milyar ")</f>
        <v/>
      </c>
      <c r="K64" s="1" t="str">
        <f t="shared" si="20"/>
        <v/>
      </c>
      <c r="P64" s="1">
        <f t="shared" ref="P64:P71" si="22">P63+1</f>
        <v>2</v>
      </c>
      <c r="Q64" s="1" t="s">
        <v>1305</v>
      </c>
      <c r="R64" s="1">
        <f t="shared" si="21"/>
        <v>12</v>
      </c>
      <c r="S64" s="13" t="s">
        <v>1306</v>
      </c>
    </row>
    <row r="65" spans="1:19">
      <c r="A65" s="5"/>
      <c r="B65" s="1">
        <f>ROUNDDOWN(A62-B64-B63-B62,-8)</f>
        <v>100000000</v>
      </c>
      <c r="C65" s="1" t="str">
        <f t="shared" si="18"/>
        <v>1</v>
      </c>
      <c r="D65" s="1">
        <f t="shared" si="19"/>
        <v>1</v>
      </c>
      <c r="G65" s="1" t="str">
        <f>IF(D65=0,"",(VLOOKUP(D65,$P$2:$Q$11,2)))</f>
        <v xml:space="preserve">Satu </v>
      </c>
      <c r="H65" s="1" t="str">
        <f>IF(D65=1,"Se",G65)</f>
        <v>Se</v>
      </c>
      <c r="I65" s="1" t="str">
        <f>IF(F65=0,H65,F65)</f>
        <v>Se</v>
      </c>
      <c r="J65" s="1" t="str">
        <f>IF(D65=1,"ratus ",IF(D65=0,"","Ratus "))</f>
        <v xml:space="preserve">ratus </v>
      </c>
      <c r="K65" s="1" t="str">
        <f t="shared" si="20"/>
        <v xml:space="preserve">ratus </v>
      </c>
      <c r="P65" s="1">
        <f t="shared" si="22"/>
        <v>3</v>
      </c>
      <c r="Q65" s="1" t="s">
        <v>1307</v>
      </c>
      <c r="R65" s="1">
        <f t="shared" si="21"/>
        <v>13</v>
      </c>
      <c r="S65" s="13" t="s">
        <v>1308</v>
      </c>
    </row>
    <row r="66" spans="1:19">
      <c r="A66" s="5"/>
      <c r="B66" s="1">
        <f>ROUNDDOWN(A62-B65-B64-B63-B62,-7)</f>
        <v>90000000</v>
      </c>
      <c r="C66" s="1" t="str">
        <f t="shared" si="18"/>
        <v>9</v>
      </c>
      <c r="D66" s="1">
        <f t="shared" si="19"/>
        <v>9</v>
      </c>
      <c r="E66" s="1">
        <f>IF(D66=1,D66*10+D67,0)</f>
        <v>0</v>
      </c>
      <c r="F66" s="1">
        <f>IF(E66=0,0,VLOOKUP(E66,$R$2:$S$11,2))</f>
        <v>0</v>
      </c>
      <c r="G66" s="1" t="str">
        <f t="shared" ref="G66:G75" si="23">IF(D66=0,"",(VLOOKUP(D66,$P$2:$Q$11,2)))</f>
        <v xml:space="preserve">Sembilan </v>
      </c>
      <c r="H66" s="1" t="str">
        <f>IF(D66=1,"Se",G66)</f>
        <v xml:space="preserve">Sembilan </v>
      </c>
      <c r="I66" s="1" t="str">
        <f>IF(F66=0,H66,F66)</f>
        <v xml:space="preserve">Sembilan </v>
      </c>
      <c r="J66" s="1" t="str">
        <f>IF(D66=0,"","Puluh ")</f>
        <v xml:space="preserve">Puluh </v>
      </c>
      <c r="K66" s="1" t="str">
        <f t="shared" si="20"/>
        <v xml:space="preserve">Puluh </v>
      </c>
      <c r="P66" s="1">
        <f t="shared" si="22"/>
        <v>4</v>
      </c>
      <c r="Q66" s="1" t="s">
        <v>1309</v>
      </c>
      <c r="R66" s="1">
        <f t="shared" si="21"/>
        <v>14</v>
      </c>
      <c r="S66" s="13" t="s">
        <v>1310</v>
      </c>
    </row>
    <row r="67" spans="1:19">
      <c r="A67" s="5"/>
      <c r="B67" s="1">
        <f>ROUNDDOWN(A62-B66-B65-B64-B63-B62,-6)</f>
        <v>9000000</v>
      </c>
      <c r="C67" s="1" t="str">
        <f t="shared" si="18"/>
        <v>9</v>
      </c>
      <c r="D67" s="1">
        <f t="shared" si="19"/>
        <v>9</v>
      </c>
      <c r="G67" s="1" t="str">
        <f t="shared" si="23"/>
        <v xml:space="preserve">Sembilan </v>
      </c>
      <c r="H67" s="1" t="str">
        <f>IF(D67=1,"Satu ",G67)</f>
        <v xml:space="preserve">Sembilan </v>
      </c>
      <c r="I67" s="1" t="str">
        <f>IF(E66=0,IF(F67=0,H67,F67),"")</f>
        <v xml:space="preserve">Sembilan </v>
      </c>
      <c r="J67" s="1" t="str">
        <f>IF(D67+D66+D65=0,"","Juta ")</f>
        <v xml:space="preserve">Juta </v>
      </c>
      <c r="K67" s="1" t="str">
        <f t="shared" si="20"/>
        <v xml:space="preserve">Juta </v>
      </c>
      <c r="P67" s="1">
        <f t="shared" si="22"/>
        <v>5</v>
      </c>
      <c r="Q67" s="1" t="s">
        <v>1311</v>
      </c>
      <c r="R67" s="1">
        <f t="shared" si="21"/>
        <v>15</v>
      </c>
      <c r="S67" s="13" t="s">
        <v>1312</v>
      </c>
    </row>
    <row r="68" spans="1:19">
      <c r="A68" s="5"/>
      <c r="B68" s="1">
        <f>ROUNDDOWN(A62-B67-B66-B65-B64-B63-B62,-5)</f>
        <v>900000</v>
      </c>
      <c r="C68" s="1" t="str">
        <f t="shared" si="18"/>
        <v>9</v>
      </c>
      <c r="D68" s="1">
        <f t="shared" si="19"/>
        <v>9</v>
      </c>
      <c r="G68" s="1" t="str">
        <f t="shared" si="23"/>
        <v xml:space="preserve">Sembilan </v>
      </c>
      <c r="H68" s="1" t="str">
        <f>IF(D68=1,"Se",G68)</f>
        <v xml:space="preserve">Sembilan </v>
      </c>
      <c r="I68" s="1" t="str">
        <f>IF(F68=0,H68,F68)</f>
        <v xml:space="preserve">Sembilan </v>
      </c>
      <c r="J68" s="1" t="str">
        <f>IF(D68=1,"ratus ",IF(D68=0,"","Ratus "))</f>
        <v xml:space="preserve">Ratus </v>
      </c>
      <c r="K68" s="1" t="str">
        <f t="shared" si="20"/>
        <v xml:space="preserve">Ratus </v>
      </c>
      <c r="P68" s="1">
        <f t="shared" si="22"/>
        <v>6</v>
      </c>
      <c r="Q68" s="1" t="s">
        <v>1313</v>
      </c>
      <c r="R68" s="1">
        <f t="shared" si="21"/>
        <v>16</v>
      </c>
      <c r="S68" s="13" t="s">
        <v>1314</v>
      </c>
    </row>
    <row r="69" spans="1:19">
      <c r="A69" s="5"/>
      <c r="B69" s="1">
        <f>ROUNDDOWN(A62-B68-B67-B66-B65-B64-B63-B62,-4)</f>
        <v>90000</v>
      </c>
      <c r="C69" s="1" t="str">
        <f t="shared" si="18"/>
        <v>9</v>
      </c>
      <c r="D69" s="1">
        <f t="shared" si="19"/>
        <v>9</v>
      </c>
      <c r="E69" s="1">
        <f>IF(D69=1,D69*10+D70,0)</f>
        <v>0</v>
      </c>
      <c r="F69" s="1">
        <f>IF(E69=0,0,VLOOKUP(E69,$R$2:$S$11,2))</f>
        <v>0</v>
      </c>
      <c r="G69" s="1" t="str">
        <f t="shared" si="23"/>
        <v xml:space="preserve">Sembilan </v>
      </c>
      <c r="H69" s="1" t="str">
        <f>IF(D69=1,"Se",G69)</f>
        <v xml:space="preserve">Sembilan </v>
      </c>
      <c r="I69" s="1" t="str">
        <f>IF(F69=0,H69,F69)</f>
        <v xml:space="preserve">Sembilan </v>
      </c>
      <c r="J69" s="1" t="str">
        <f>IF(D69=0,"","Puluh ")</f>
        <v xml:space="preserve">Puluh </v>
      </c>
      <c r="K69" s="1" t="str">
        <f t="shared" si="20"/>
        <v xml:space="preserve">Puluh </v>
      </c>
      <c r="P69" s="1">
        <f t="shared" si="22"/>
        <v>7</v>
      </c>
      <c r="Q69" s="1" t="s">
        <v>1315</v>
      </c>
      <c r="R69" s="1">
        <f t="shared" si="21"/>
        <v>17</v>
      </c>
      <c r="S69" s="13" t="s">
        <v>1316</v>
      </c>
    </row>
    <row r="70" spans="1:19">
      <c r="A70" s="5"/>
      <c r="B70" s="1">
        <f>ROUNDDOWN(A62-B69-B68-B67-B66-B65-B64-B63-B62,-3)</f>
        <v>9000</v>
      </c>
      <c r="C70" s="1" t="str">
        <f t="shared" si="18"/>
        <v>9</v>
      </c>
      <c r="D70" s="1">
        <f t="shared" si="19"/>
        <v>9</v>
      </c>
      <c r="G70" s="1" t="str">
        <f t="shared" si="23"/>
        <v xml:space="preserve">Sembilan </v>
      </c>
      <c r="H70" s="1" t="str">
        <f>IF(AND(D70=1,D69+D68=0),"Se",IF(D70=1,"Satu ",G70))</f>
        <v xml:space="preserve">Sembilan </v>
      </c>
      <c r="I70" s="1" t="str">
        <f>IF(E69=0,IF(F70=0,H70,F70),"")</f>
        <v xml:space="preserve">Sembilan </v>
      </c>
      <c r="J70" s="1" t="str">
        <f>IF(AND(D70=1,D69+D68=0),"ribu ",IF(D70+D69+D68=0,"","Ribu "))</f>
        <v xml:space="preserve">Ribu </v>
      </c>
      <c r="K70" s="1" t="str">
        <f t="shared" si="20"/>
        <v xml:space="preserve">Ribu </v>
      </c>
      <c r="P70" s="1">
        <f t="shared" si="22"/>
        <v>8</v>
      </c>
      <c r="Q70" s="1" t="s">
        <v>1317</v>
      </c>
      <c r="R70" s="1">
        <f t="shared" si="21"/>
        <v>18</v>
      </c>
      <c r="S70" s="13" t="s">
        <v>1318</v>
      </c>
    </row>
    <row r="71" spans="1:19">
      <c r="A71" s="5"/>
      <c r="B71" s="1">
        <f>ROUNDDOWN(A62-B70-B69-B68-B67-B66-B65-B64-B63-B62,-2)</f>
        <v>800</v>
      </c>
      <c r="C71" s="1" t="str">
        <f t="shared" si="18"/>
        <v>8</v>
      </c>
      <c r="D71" s="1">
        <f t="shared" si="19"/>
        <v>8</v>
      </c>
      <c r="G71" s="1" t="str">
        <f t="shared" si="23"/>
        <v xml:space="preserve">Delapan </v>
      </c>
      <c r="H71" s="1" t="str">
        <f>IF(D71=1,"Se",G71)</f>
        <v xml:space="preserve">Delapan </v>
      </c>
      <c r="I71" s="1" t="str">
        <f>IF(F71=0,H71,F71)</f>
        <v xml:space="preserve">Delapan </v>
      </c>
      <c r="J71" s="1" t="str">
        <f>IF(D71=1,"ratus ",IF(D71=0,"","Ratus "))</f>
        <v xml:space="preserve">Ratus </v>
      </c>
      <c r="K71" s="1" t="str">
        <f t="shared" si="20"/>
        <v xml:space="preserve">Ratus </v>
      </c>
      <c r="P71" s="1">
        <f t="shared" si="22"/>
        <v>9</v>
      </c>
      <c r="Q71" s="1" t="s">
        <v>1319</v>
      </c>
      <c r="R71" s="1">
        <f t="shared" si="21"/>
        <v>19</v>
      </c>
      <c r="S71" s="13" t="s">
        <v>1320</v>
      </c>
    </row>
    <row r="72" spans="1:19">
      <c r="A72" s="5"/>
      <c r="B72" s="1">
        <f>ROUNDDOWN(A62-B71-B70-B69-B68-B67-B66-B65-B64-B63-B62,-1)</f>
        <v>0</v>
      </c>
      <c r="C72" s="1" t="str">
        <f t="shared" si="18"/>
        <v>0</v>
      </c>
      <c r="D72" s="1">
        <f t="shared" si="19"/>
        <v>0</v>
      </c>
      <c r="E72" s="1">
        <f>IF(D72=1,D72*10+D73,0)</f>
        <v>0</v>
      </c>
      <c r="F72" s="1">
        <f>IF(E72=0,0,VLOOKUP(E72,$R$2:$S$11,2))</f>
        <v>0</v>
      </c>
      <c r="G72" s="1" t="str">
        <f t="shared" si="23"/>
        <v/>
      </c>
      <c r="H72" s="1" t="str">
        <f>IF(D72=1,"Se",G72)</f>
        <v/>
      </c>
      <c r="I72" s="1" t="str">
        <f>IF(F72=0,H72,F72)</f>
        <v/>
      </c>
      <c r="J72" s="1" t="str">
        <f>IF(D72=0,"","Puluh ")</f>
        <v/>
      </c>
      <c r="K72" s="1" t="str">
        <f t="shared" si="20"/>
        <v/>
      </c>
      <c r="S72" s="13"/>
    </row>
    <row r="73" spans="1:19">
      <c r="A73" s="5"/>
      <c r="B73" s="1">
        <f>ROUNDDOWN(A62-B72-B71-B70-B69-B68-B67-B66-B65-B64-B63-B62,0)</f>
        <v>0</v>
      </c>
      <c r="C73" s="1" t="str">
        <f t="shared" si="18"/>
        <v>0</v>
      </c>
      <c r="D73" s="1">
        <f t="shared" si="19"/>
        <v>0</v>
      </c>
      <c r="G73" s="1" t="str">
        <f t="shared" si="23"/>
        <v/>
      </c>
      <c r="H73" s="1" t="str">
        <f>IF(D73=1,"Satu ",G73)</f>
        <v/>
      </c>
      <c r="I73" s="1" t="str">
        <f>IF(E72=0,IF(F73=0,H73,F73),"")</f>
        <v/>
      </c>
      <c r="J73" s="1" t="str">
        <f>IF(D74+D75=0,"","Koma ")</f>
        <v/>
      </c>
      <c r="K73" s="1" t="str">
        <f t="shared" si="20"/>
        <v/>
      </c>
      <c r="S73" s="13"/>
    </row>
    <row r="74" spans="1:19">
      <c r="A74" s="5"/>
      <c r="B74" s="1">
        <f>ROUNDDOWN(A62-B73-B72-B71-B70-B69-B68-B67-B66-B65-B64-B63-B62,1)*10</f>
        <v>0</v>
      </c>
      <c r="C74" s="1" t="str">
        <f t="shared" si="18"/>
        <v>0</v>
      </c>
      <c r="D74" s="1">
        <f t="shared" si="19"/>
        <v>0</v>
      </c>
      <c r="E74" s="1">
        <f>IF(D74=1,D74*10+D75,0)</f>
        <v>0</v>
      </c>
      <c r="F74" s="1">
        <f>IF(E74=0,0,VLOOKUP(E74,$R$2:$S$11,2))</f>
        <v>0</v>
      </c>
      <c r="G74" s="1" t="str">
        <f t="shared" si="23"/>
        <v/>
      </c>
      <c r="H74" s="1" t="str">
        <f>IF(D74=1,"se",G74)</f>
        <v/>
      </c>
      <c r="I74" s="1" t="str">
        <f>IF(F74=0,H74,F74)</f>
        <v/>
      </c>
      <c r="J74" s="1" t="str">
        <f>IF(D74=0,"","Puluh ")</f>
        <v/>
      </c>
      <c r="K74" s="1" t="str">
        <f t="shared" si="20"/>
        <v/>
      </c>
      <c r="S74" s="13"/>
    </row>
    <row r="75" spans="1:19">
      <c r="A75" s="5"/>
      <c r="B75" s="1">
        <f>ROUND(A62-B74/10-B73-B72-B71-B70-B69-B68-B67-B66-B65-B64-B63-B62,2)</f>
        <v>0</v>
      </c>
      <c r="C75" s="1" t="str">
        <f>RIGHT(B75)</f>
        <v>0</v>
      </c>
      <c r="D75" s="1">
        <f t="shared" si="19"/>
        <v>0</v>
      </c>
      <c r="G75" s="1" t="str">
        <f t="shared" si="23"/>
        <v/>
      </c>
      <c r="H75" s="1" t="str">
        <f>IF(D75=1,"Satu ",G75)</f>
        <v/>
      </c>
      <c r="I75" s="1" t="str">
        <f>IF(E74+E75=0,IF(F75=0,H75,F75),"")</f>
        <v/>
      </c>
      <c r="J75" s="1" t="str">
        <f>IF(D74+D75=0,"Rupiah","Perseratus Rupiah")</f>
        <v>Rupiah</v>
      </c>
      <c r="K75" s="1" t="str">
        <f t="shared" si="20"/>
        <v>Rupiah</v>
      </c>
      <c r="S75" s="13"/>
    </row>
    <row r="76" spans="1:19">
      <c r="A76" s="5"/>
      <c r="S76" s="13"/>
    </row>
    <row r="77" spans="1:19">
      <c r="A77" s="5"/>
      <c r="S77" s="13"/>
    </row>
    <row r="78" spans="1:19">
      <c r="A78" s="5"/>
      <c r="S78" s="13"/>
    </row>
    <row r="79" spans="1:19">
      <c r="A79" s="5"/>
      <c r="S79" s="13"/>
    </row>
    <row r="80" spans="1:19">
      <c r="A80" s="7"/>
      <c r="B80" s="8"/>
      <c r="C80" s="8"/>
      <c r="D80" s="8"/>
      <c r="E80" s="8"/>
      <c r="F80" s="8"/>
      <c r="G80" s="8"/>
      <c r="H80" s="8"/>
      <c r="I80" s="8"/>
      <c r="J80" s="8"/>
      <c r="K80" s="8"/>
      <c r="L80" s="8"/>
      <c r="M80" s="8"/>
      <c r="N80" s="8"/>
      <c r="O80" s="8"/>
      <c r="P80" s="8"/>
      <c r="Q80" s="8"/>
      <c r="R80" s="8"/>
      <c r="S80" s="17"/>
    </row>
    <row r="81" spans="1:19">
      <c r="A81" s="2" t="str">
        <f>L82&amp;M82&amp;L83&amp;M83&amp;L84&amp;M84&amp;L85&amp;M85&amp;L86&amp;M86&amp;L87&amp;M87&amp;L88&amp;M88&amp;L89&amp;M89&amp;L90&amp;M90&amp;L91&amp;M91&amp;L92&amp;M92&amp;L93&amp;M93&amp;L94&amp;M94&amp;L95</f>
        <v>tiga puluh</v>
      </c>
      <c r="B81" s="3"/>
      <c r="C81" s="3"/>
      <c r="D81" s="3"/>
      <c r="E81" s="3"/>
      <c r="F81" s="3"/>
      <c r="G81" s="3"/>
      <c r="H81" s="3"/>
      <c r="I81" s="3"/>
      <c r="J81" s="3"/>
      <c r="K81" s="3"/>
      <c r="L81" s="3"/>
      <c r="M81" s="3"/>
      <c r="N81" s="3"/>
      <c r="O81" s="3"/>
      <c r="P81" s="3"/>
      <c r="Q81" s="3"/>
      <c r="R81" s="3"/>
      <c r="S81" s="9"/>
    </row>
    <row r="82" spans="1:19">
      <c r="A82" s="4">
        <f>masa</f>
        <v>30</v>
      </c>
      <c r="B82" s="1">
        <f>ROUNDDOWN(A82,-11)</f>
        <v>0</v>
      </c>
      <c r="C82" s="1" t="str">
        <f t="shared" ref="C82:C94" si="24">LEFT(B82)</f>
        <v>0</v>
      </c>
      <c r="D82" s="1">
        <f t="shared" ref="D82:D95" si="25">VALUE(C82)</f>
        <v>0</v>
      </c>
      <c r="G82" s="1" t="str">
        <f>IF(D82=0,"",(VLOOKUP(D82,$P$82:$Q$91,2)))</f>
        <v/>
      </c>
      <c r="H82" s="1" t="str">
        <f>IF(D82=1,"se",G82)</f>
        <v/>
      </c>
      <c r="I82" s="1" t="str">
        <f>IF(F82=0,H82,F82)</f>
        <v/>
      </c>
      <c r="J82" s="1" t="str">
        <f>IF(D82=1,"ratus",IF(D82=0,""," ratus"))</f>
        <v/>
      </c>
      <c r="K82" s="1" t="str">
        <f t="shared" ref="K82:K93" si="26">IF(E82=0,J82,"")</f>
        <v/>
      </c>
      <c r="L82" s="1" t="str">
        <f>I82&amp;K82</f>
        <v/>
      </c>
      <c r="M82" s="1" t="str">
        <f>IF(OR(L82="",L83=""),""," ")</f>
        <v/>
      </c>
      <c r="P82" s="1">
        <v>0</v>
      </c>
      <c r="R82" s="1">
        <f>P91+1</f>
        <v>10</v>
      </c>
      <c r="S82" s="13" t="s">
        <v>1323</v>
      </c>
    </row>
    <row r="83" spans="1:19">
      <c r="A83" s="5" t="s">
        <v>1324</v>
      </c>
      <c r="B83" s="1">
        <f>ROUNDDOWN(A82-B82,-10)</f>
        <v>0</v>
      </c>
      <c r="C83" s="1" t="str">
        <f t="shared" si="24"/>
        <v>0</v>
      </c>
      <c r="D83" s="1">
        <f t="shared" si="25"/>
        <v>0</v>
      </c>
      <c r="E83" s="1">
        <f>IF(D83=1,D83*10+D84,0)</f>
        <v>0</v>
      </c>
      <c r="F83" s="1">
        <f>IF(E83=0,0,VLOOKUP(E83,$R$82:$S$91,2))</f>
        <v>0</v>
      </c>
      <c r="G83" s="1" t="str">
        <f>IF(D83=0,"",(VLOOKUP(D83,$P$82:$Q$91,2)))</f>
        <v/>
      </c>
      <c r="H83" s="1" t="str">
        <f>IF(D83=1,"se",G83)</f>
        <v/>
      </c>
      <c r="I83" s="1" t="str">
        <f>IF(F83=0,H83,F83)</f>
        <v/>
      </c>
      <c r="J83" s="1" t="str">
        <f>IF(D83=0,""," puluh")</f>
        <v/>
      </c>
      <c r="K83" s="1" t="str">
        <f t="shared" si="26"/>
        <v/>
      </c>
      <c r="L83" s="1" t="str">
        <f t="shared" ref="L83:L95" si="27">I83&amp;K83</f>
        <v/>
      </c>
      <c r="M83" s="1" t="str">
        <f t="shared" ref="M83:M94" si="28">IF(OR(L83="",L84=""),""," ")</f>
        <v/>
      </c>
      <c r="P83" s="1">
        <v>1</v>
      </c>
      <c r="Q83" s="1" t="s">
        <v>1325</v>
      </c>
      <c r="R83" s="1">
        <f t="shared" ref="R83:R91" si="29">R82+1</f>
        <v>11</v>
      </c>
      <c r="S83" s="13" t="s">
        <v>1326</v>
      </c>
    </row>
    <row r="84" spans="1:19">
      <c r="A84" s="5"/>
      <c r="B84" s="1">
        <f>ROUNDDOWN(A82-B83-B82,-9)</f>
        <v>0</v>
      </c>
      <c r="C84" s="1" t="str">
        <f t="shared" si="24"/>
        <v>0</v>
      </c>
      <c r="D84" s="1">
        <f t="shared" si="25"/>
        <v>0</v>
      </c>
      <c r="G84" s="1" t="str">
        <f t="shared" ref="G84:G95" si="30">IF(D84=0,"",(VLOOKUP(D84,$P$82:$Q$91,2)))</f>
        <v/>
      </c>
      <c r="H84" s="1" t="str">
        <f>IF(D84=1,"satu",G84)</f>
        <v/>
      </c>
      <c r="I84" s="1" t="str">
        <f>IF(E83=0,IF(F84=0,H84,F84),"")</f>
        <v/>
      </c>
      <c r="J84" s="1" t="str">
        <f>IF(D82+D83+D84=0,"",IF(D83=1,"milyar"," milyar"))</f>
        <v/>
      </c>
      <c r="K84" s="1" t="str">
        <f t="shared" si="26"/>
        <v/>
      </c>
      <c r="L84" s="1" t="str">
        <f t="shared" si="27"/>
        <v/>
      </c>
      <c r="M84" s="1" t="str">
        <f t="shared" si="28"/>
        <v/>
      </c>
      <c r="P84" s="1">
        <f t="shared" ref="P84:P91" si="31">P83+1</f>
        <v>2</v>
      </c>
      <c r="Q84" s="1" t="s">
        <v>1327</v>
      </c>
      <c r="R84" s="1">
        <f t="shared" si="29"/>
        <v>12</v>
      </c>
      <c r="S84" s="13" t="s">
        <v>1328</v>
      </c>
    </row>
    <row r="85" spans="1:19">
      <c r="A85" s="5"/>
      <c r="B85" s="1">
        <f>ROUNDDOWN(A82-B84-B83-B82,-8)</f>
        <v>0</v>
      </c>
      <c r="C85" s="1" t="str">
        <f t="shared" si="24"/>
        <v>0</v>
      </c>
      <c r="D85" s="1">
        <f t="shared" si="25"/>
        <v>0</v>
      </c>
      <c r="G85" s="1" t="str">
        <f t="shared" si="30"/>
        <v/>
      </c>
      <c r="H85" s="1" t="str">
        <f>IF(D85=1,"se",G85)</f>
        <v/>
      </c>
      <c r="I85" s="1" t="str">
        <f>IF(F85=0,H85,F85)</f>
        <v/>
      </c>
      <c r="J85" s="1" t="str">
        <f>IF(D85=1,"ratus",IF(D85=0,""," ratus"))</f>
        <v/>
      </c>
      <c r="K85" s="1" t="str">
        <f t="shared" si="26"/>
        <v/>
      </c>
      <c r="L85" s="1" t="str">
        <f t="shared" si="27"/>
        <v/>
      </c>
      <c r="M85" s="1" t="str">
        <f t="shared" si="28"/>
        <v/>
      </c>
      <c r="P85" s="1">
        <f t="shared" si="31"/>
        <v>3</v>
      </c>
      <c r="Q85" s="1" t="s">
        <v>1329</v>
      </c>
      <c r="R85" s="1">
        <f t="shared" si="29"/>
        <v>13</v>
      </c>
      <c r="S85" s="13" t="s">
        <v>1330</v>
      </c>
    </row>
    <row r="86" spans="1:19">
      <c r="A86" s="5"/>
      <c r="B86" s="1">
        <f>ROUNDDOWN(A82-B85-B84-B83-B82,-7)</f>
        <v>0</v>
      </c>
      <c r="C86" s="1" t="str">
        <f t="shared" si="24"/>
        <v>0</v>
      </c>
      <c r="D86" s="1">
        <f t="shared" si="25"/>
        <v>0</v>
      </c>
      <c r="E86" s="1">
        <f>IF(D86=1,D86*10+D87,0)</f>
        <v>0</v>
      </c>
      <c r="F86" s="1">
        <f>IF(E86=0,0,VLOOKUP(E86,$R$82:$S$91,2))</f>
        <v>0</v>
      </c>
      <c r="G86" s="1" t="str">
        <f t="shared" si="30"/>
        <v/>
      </c>
      <c r="H86" s="1" t="str">
        <f>IF(D86=1,"se",G86)</f>
        <v/>
      </c>
      <c r="I86" s="1" t="str">
        <f>IF(F86=0,H86,F86)</f>
        <v/>
      </c>
      <c r="J86" s="1" t="str">
        <f>IF(D86=0,""," puluh")</f>
        <v/>
      </c>
      <c r="K86" s="1" t="str">
        <f t="shared" si="26"/>
        <v/>
      </c>
      <c r="L86" s="1" t="str">
        <f t="shared" si="27"/>
        <v/>
      </c>
      <c r="M86" s="1" t="str">
        <f t="shared" si="28"/>
        <v/>
      </c>
      <c r="P86" s="1">
        <f t="shared" si="31"/>
        <v>4</v>
      </c>
      <c r="Q86" s="1" t="s">
        <v>1331</v>
      </c>
      <c r="R86" s="1">
        <f t="shared" si="29"/>
        <v>14</v>
      </c>
      <c r="S86" s="13" t="s">
        <v>1332</v>
      </c>
    </row>
    <row r="87" spans="1:19">
      <c r="A87" s="5"/>
      <c r="B87" s="1">
        <f>ROUNDDOWN(A82-B86-B85-B84-B83-B82,-6)</f>
        <v>0</v>
      </c>
      <c r="C87" s="1" t="str">
        <f t="shared" si="24"/>
        <v>0</v>
      </c>
      <c r="D87" s="1">
        <f t="shared" si="25"/>
        <v>0</v>
      </c>
      <c r="G87" s="1" t="str">
        <f t="shared" si="30"/>
        <v/>
      </c>
      <c r="H87" s="1" t="str">
        <f>IF(D87=1,"satu",G87)</f>
        <v/>
      </c>
      <c r="I87" s="1" t="str">
        <f>IF(E86=0,IF(F87=0,H87,F87),"")</f>
        <v/>
      </c>
      <c r="J87" s="1" t="str">
        <f>IF(D87+D86+D85=0,"",IF(D86=1,"juta"," juta"))</f>
        <v/>
      </c>
      <c r="K87" s="1" t="str">
        <f t="shared" si="26"/>
        <v/>
      </c>
      <c r="L87" s="1" t="str">
        <f t="shared" si="27"/>
        <v/>
      </c>
      <c r="M87" s="1" t="str">
        <f t="shared" si="28"/>
        <v/>
      </c>
      <c r="P87" s="1">
        <f t="shared" si="31"/>
        <v>5</v>
      </c>
      <c r="Q87" s="1" t="s">
        <v>1333</v>
      </c>
      <c r="R87" s="1">
        <f t="shared" si="29"/>
        <v>15</v>
      </c>
      <c r="S87" s="13" t="s">
        <v>1334</v>
      </c>
    </row>
    <row r="88" spans="1:19">
      <c r="A88" s="5"/>
      <c r="B88" s="1">
        <f>ROUNDDOWN(A82-B87-B86-B85-B84-B83-B82,-5)</f>
        <v>0</v>
      </c>
      <c r="C88" s="1" t="str">
        <f t="shared" si="24"/>
        <v>0</v>
      </c>
      <c r="D88" s="1">
        <f t="shared" si="25"/>
        <v>0</v>
      </c>
      <c r="G88" s="1" t="str">
        <f t="shared" si="30"/>
        <v/>
      </c>
      <c r="H88" s="1" t="str">
        <f>IF(D88=1,"se",G88)</f>
        <v/>
      </c>
      <c r="I88" s="1" t="str">
        <f>IF(F88=0,H88,F88)</f>
        <v/>
      </c>
      <c r="J88" s="1" t="str">
        <f>IF(D88=1,"ratus",IF(D88=0,""," ratus"))</f>
        <v/>
      </c>
      <c r="K88" s="1" t="str">
        <f t="shared" si="26"/>
        <v/>
      </c>
      <c r="L88" s="1" t="str">
        <f t="shared" si="27"/>
        <v/>
      </c>
      <c r="M88" s="1" t="str">
        <f t="shared" si="28"/>
        <v/>
      </c>
      <c r="P88" s="1">
        <f t="shared" si="31"/>
        <v>6</v>
      </c>
      <c r="Q88" s="1" t="s">
        <v>1335</v>
      </c>
      <c r="R88" s="1">
        <f t="shared" si="29"/>
        <v>16</v>
      </c>
      <c r="S88" s="13" t="s">
        <v>1336</v>
      </c>
    </row>
    <row r="89" spans="1:19">
      <c r="A89" s="5"/>
      <c r="B89" s="1">
        <f>ROUNDDOWN(A82-B88-B87-B86-B85-B84-B83-B82,-4)</f>
        <v>0</v>
      </c>
      <c r="C89" s="1" t="str">
        <f t="shared" si="24"/>
        <v>0</v>
      </c>
      <c r="D89" s="1">
        <f t="shared" si="25"/>
        <v>0</v>
      </c>
      <c r="E89" s="1">
        <f>IF(D89=1,D89*10+D90,0)</f>
        <v>0</v>
      </c>
      <c r="F89" s="1">
        <f>IF(E89=0,0,VLOOKUP(E89,$R$82:$S$91,2))</f>
        <v>0</v>
      </c>
      <c r="G89" s="1" t="str">
        <f t="shared" si="30"/>
        <v/>
      </c>
      <c r="H89" s="1" t="str">
        <f>IF(D89=1,"se",G89)</f>
        <v/>
      </c>
      <c r="I89" s="1" t="str">
        <f>IF(F89=0,H89,F89)</f>
        <v/>
      </c>
      <c r="J89" s="1" t="str">
        <f>IF(D89=0,""," puluh")</f>
        <v/>
      </c>
      <c r="K89" s="1" t="str">
        <f t="shared" si="26"/>
        <v/>
      </c>
      <c r="L89" s="1" t="str">
        <f t="shared" si="27"/>
        <v/>
      </c>
      <c r="M89" s="1" t="str">
        <f t="shared" si="28"/>
        <v/>
      </c>
      <c r="P89" s="1">
        <f t="shared" si="31"/>
        <v>7</v>
      </c>
      <c r="Q89" s="1" t="s">
        <v>1337</v>
      </c>
      <c r="R89" s="1">
        <f t="shared" si="29"/>
        <v>17</v>
      </c>
      <c r="S89" s="13" t="s">
        <v>1338</v>
      </c>
    </row>
    <row r="90" spans="1:19">
      <c r="A90" s="5"/>
      <c r="B90" s="1">
        <f>ROUNDDOWN(A82-B89-B88-B87-B86-B85-B84-B83-B82,-3)</f>
        <v>0</v>
      </c>
      <c r="C90" s="1" t="str">
        <f t="shared" si="24"/>
        <v>0</v>
      </c>
      <c r="D90" s="1">
        <f t="shared" si="25"/>
        <v>0</v>
      </c>
      <c r="G90" s="1" t="str">
        <f t="shared" si="30"/>
        <v/>
      </c>
      <c r="H90" s="1" t="str">
        <f>IF(AND(D90=1,D89+D88=0),"se",IF(D90=1,"satu",G90))</f>
        <v/>
      </c>
      <c r="I90" s="1" t="str">
        <f>IF(E89=0,IF(F90=0,H90,F90),"")</f>
        <v/>
      </c>
      <c r="J90" s="1" t="str">
        <f>IF(AND(D90=1,D89+D88=0),"ribu",IF(D89=1,"ribu",IF(D90+D89+D88=0,""," ribu")))</f>
        <v/>
      </c>
      <c r="K90" s="1" t="str">
        <f t="shared" si="26"/>
        <v/>
      </c>
      <c r="L90" s="1" t="str">
        <f t="shared" si="27"/>
        <v/>
      </c>
      <c r="M90" s="1" t="str">
        <f t="shared" si="28"/>
        <v/>
      </c>
      <c r="P90" s="1">
        <f t="shared" si="31"/>
        <v>8</v>
      </c>
      <c r="Q90" s="1" t="s">
        <v>1339</v>
      </c>
      <c r="R90" s="1">
        <f t="shared" si="29"/>
        <v>18</v>
      </c>
      <c r="S90" s="13" t="s">
        <v>1340</v>
      </c>
    </row>
    <row r="91" spans="1:19">
      <c r="A91" s="5"/>
      <c r="B91" s="1">
        <f>ROUNDDOWN(A82-B90-B89-B88-B87-B86-B85-B84-B83-B82,-2)</f>
        <v>0</v>
      </c>
      <c r="C91" s="1" t="str">
        <f t="shared" si="24"/>
        <v>0</v>
      </c>
      <c r="D91" s="1">
        <f t="shared" si="25"/>
        <v>0</v>
      </c>
      <c r="G91" s="1" t="str">
        <f t="shared" si="30"/>
        <v/>
      </c>
      <c r="H91" s="1" t="str">
        <f>IF(D91=1,"se",G91)</f>
        <v/>
      </c>
      <c r="I91" s="1" t="str">
        <f>IF(F91=0,H91,F91)</f>
        <v/>
      </c>
      <c r="J91" s="1" t="str">
        <f>IF(D91=1,"ratus",IF(D91=0,""," ratus"))</f>
        <v/>
      </c>
      <c r="K91" s="1" t="str">
        <f t="shared" si="26"/>
        <v/>
      </c>
      <c r="L91" s="1" t="str">
        <f t="shared" si="27"/>
        <v/>
      </c>
      <c r="M91" s="1" t="str">
        <f t="shared" si="28"/>
        <v/>
      </c>
      <c r="P91" s="1">
        <f t="shared" si="31"/>
        <v>9</v>
      </c>
      <c r="Q91" s="1" t="s">
        <v>1341</v>
      </c>
      <c r="R91" s="1">
        <f t="shared" si="29"/>
        <v>19</v>
      </c>
      <c r="S91" s="13" t="s">
        <v>1342</v>
      </c>
    </row>
    <row r="92" spans="1:19">
      <c r="A92" s="5"/>
      <c r="B92" s="1">
        <f>ROUNDDOWN(A82-B91-B90-B89-B88-B87-B86-B85-B84-B83-B82,-1)</f>
        <v>30</v>
      </c>
      <c r="C92" s="1" t="str">
        <f t="shared" si="24"/>
        <v>3</v>
      </c>
      <c r="D92" s="1">
        <f t="shared" si="25"/>
        <v>3</v>
      </c>
      <c r="E92" s="1">
        <f>IF(D92=1,D92*10+D93,0)</f>
        <v>0</v>
      </c>
      <c r="F92" s="1">
        <f>IF(E92=0,0,VLOOKUP(E92,$R$82:$S$91,2))</f>
        <v>0</v>
      </c>
      <c r="G92" s="1" t="str">
        <f t="shared" si="30"/>
        <v>tiga</v>
      </c>
      <c r="H92" s="1" t="str">
        <f>IF(D92=1,"se",G92)</f>
        <v>tiga</v>
      </c>
      <c r="I92" s="1" t="str">
        <f>IF(F92=0,H92,F92)</f>
        <v>tiga</v>
      </c>
      <c r="J92" s="1" t="str">
        <f>IF(D92=0,""," puluh")</f>
        <v xml:space="preserve"> puluh</v>
      </c>
      <c r="K92" s="1" t="str">
        <f t="shared" si="26"/>
        <v xml:space="preserve"> puluh</v>
      </c>
      <c r="L92" s="1" t="str">
        <f t="shared" si="27"/>
        <v>tiga puluh</v>
      </c>
      <c r="M92" s="1" t="str">
        <f t="shared" si="28"/>
        <v/>
      </c>
      <c r="S92" s="13"/>
    </row>
    <row r="93" spans="1:19">
      <c r="A93" s="5"/>
      <c r="B93" s="1">
        <f>ROUNDDOWN(A82-B92-B91-B90-B89-B88-B87-B86-B85-B84-B83-B82,0)</f>
        <v>0</v>
      </c>
      <c r="C93" s="1" t="str">
        <f t="shared" si="24"/>
        <v>0</v>
      </c>
      <c r="D93" s="1">
        <f t="shared" si="25"/>
        <v>0</v>
      </c>
      <c r="G93" s="1" t="str">
        <f t="shared" si="30"/>
        <v/>
      </c>
      <c r="H93" s="1" t="str">
        <f>IF(D93=1,"satu",G93)</f>
        <v/>
      </c>
      <c r="I93" s="1" t="str">
        <f>IF(E92=0,IF(F93=0,H93,F93),"")</f>
        <v/>
      </c>
      <c r="J93" s="1" t="str">
        <f>IF(D94+D95=0,"","koma")</f>
        <v/>
      </c>
      <c r="K93" s="1" t="str">
        <f t="shared" si="26"/>
        <v/>
      </c>
      <c r="L93" s="1" t="str">
        <f t="shared" si="27"/>
        <v/>
      </c>
      <c r="M93" s="1" t="str">
        <f t="shared" si="28"/>
        <v/>
      </c>
      <c r="S93" s="13"/>
    </row>
    <row r="94" spans="1:19">
      <c r="A94" s="5"/>
      <c r="B94" s="1">
        <f>ROUNDDOWN(A82-B93-B92-B91-B90-B89-B88-B87-B86-B85-B84-B83-B82,1)*10</f>
        <v>0</v>
      </c>
      <c r="C94" s="1" t="str">
        <f t="shared" si="24"/>
        <v>0</v>
      </c>
      <c r="D94" s="1">
        <f t="shared" si="25"/>
        <v>0</v>
      </c>
      <c r="G94" s="1" t="str">
        <f t="shared" si="30"/>
        <v/>
      </c>
      <c r="H94" s="1" t="str">
        <f>IF(D94=1,"satu",G94)</f>
        <v/>
      </c>
      <c r="I94" s="1" t="str">
        <f>IF(F94=0,H94,F94)</f>
        <v/>
      </c>
      <c r="L94" s="1" t="str">
        <f t="shared" si="27"/>
        <v/>
      </c>
      <c r="M94" s="1" t="str">
        <f t="shared" si="28"/>
        <v/>
      </c>
      <c r="S94" s="13"/>
    </row>
    <row r="95" spans="1:19">
      <c r="A95" s="5"/>
      <c r="B95" s="1">
        <f>ROUND(A82-B94/10-B93-B92-B91-B90-B89-B88-B87-B86-B85-B84-B83-B82,2)</f>
        <v>0</v>
      </c>
      <c r="C95" s="1" t="str">
        <f>RIGHT(B95)</f>
        <v>0</v>
      </c>
      <c r="D95" s="1">
        <f t="shared" si="25"/>
        <v>0</v>
      </c>
      <c r="G95" s="1" t="str">
        <f t="shared" si="30"/>
        <v/>
      </c>
      <c r="H95" s="1" t="str">
        <f>IF(D95=1,"satu",G95)</f>
        <v/>
      </c>
      <c r="I95" s="1" t="str">
        <f>IF(E94+E95=0,IF(F95=0,H95,F95),"")</f>
        <v/>
      </c>
      <c r="L95" s="1" t="str">
        <f t="shared" si="27"/>
        <v/>
      </c>
      <c r="S95" s="13"/>
    </row>
    <row r="96" spans="1:19">
      <c r="A96" s="5"/>
      <c r="S96" s="13"/>
    </row>
    <row r="97" spans="1:19">
      <c r="A97" s="5"/>
      <c r="S97" s="13"/>
    </row>
    <row r="98" spans="1:19">
      <c r="A98" s="5"/>
      <c r="S98" s="13"/>
    </row>
    <row r="99" spans="1:19">
      <c r="A99" s="5"/>
      <c r="S99" s="13"/>
    </row>
    <row r="100" spans="1:19">
      <c r="A100" s="7"/>
      <c r="B100" s="8"/>
      <c r="C100" s="8"/>
      <c r="D100" s="8"/>
      <c r="E100" s="8"/>
      <c r="F100" s="8"/>
      <c r="G100" s="8"/>
      <c r="H100" s="8"/>
      <c r="I100" s="8"/>
      <c r="J100" s="8"/>
      <c r="K100" s="8"/>
      <c r="L100" s="8"/>
      <c r="M100" s="8"/>
      <c r="N100" s="8"/>
      <c r="O100" s="8"/>
      <c r="P100" s="8"/>
      <c r="Q100" s="8"/>
      <c r="R100" s="8"/>
      <c r="S100" s="17"/>
    </row>
    <row r="101" spans="1:19">
      <c r="A101" s="2" t="str">
        <f>L102&amp;M102&amp;L103&amp;M103&amp;L104&amp;M104&amp;L105&amp;M105&amp;L106&amp;M106&amp;L107&amp;M107&amp;L108&amp;M108&amp;L109&amp;M109&amp;L110&amp;M110&amp;L111&amp;M111&amp;L112&amp;M112&amp;L113&amp;M113&amp;L114&amp;M114&amp;L115</f>
        <v>sembilan puluh</v>
      </c>
      <c r="B101" s="3"/>
      <c r="C101" s="3"/>
      <c r="D101" s="3"/>
      <c r="E101" s="3"/>
      <c r="F101" s="3"/>
      <c r="G101" s="3"/>
      <c r="H101" s="3"/>
      <c r="I101" s="3"/>
      <c r="J101" s="3"/>
      <c r="K101" s="3"/>
      <c r="L101" s="3"/>
      <c r="M101" s="3"/>
      <c r="N101" s="3"/>
      <c r="O101" s="3"/>
      <c r="P101" s="3"/>
      <c r="Q101" s="3"/>
      <c r="R101" s="3"/>
      <c r="S101" s="9"/>
    </row>
    <row r="102" spans="1:19">
      <c r="A102" s="4">
        <f>Input!$D$132</f>
        <v>90</v>
      </c>
      <c r="B102" s="1">
        <f>ROUNDDOWN(A102,-11)</f>
        <v>0</v>
      </c>
      <c r="C102" s="1" t="str">
        <f t="shared" ref="C102:C114" si="32">LEFT(B102)</f>
        <v>0</v>
      </c>
      <c r="D102" s="1">
        <f t="shared" ref="D102:D115" si="33">VALUE(C102)</f>
        <v>0</v>
      </c>
      <c r="G102" s="1" t="str">
        <f>IF(D102=0,"",(VLOOKUP(D102,$P$82:$Q$91,2)))</f>
        <v/>
      </c>
      <c r="H102" s="1" t="str">
        <f>IF(D102=1,"se",G102)</f>
        <v/>
      </c>
      <c r="I102" s="1" t="str">
        <f>IF(F102=0,H102,F102)</f>
        <v/>
      </c>
      <c r="J102" s="1" t="str">
        <f>IF(D102=1,"ratus",IF(D102=0,""," ratus"))</f>
        <v/>
      </c>
      <c r="K102" s="1" t="str">
        <f t="shared" ref="K102:K113" si="34">IF(E102=0,J102,"")</f>
        <v/>
      </c>
      <c r="L102" s="1" t="str">
        <f>I102&amp;K102</f>
        <v/>
      </c>
      <c r="M102" s="1" t="str">
        <f>IF(OR(L102="",L103=""),""," ")</f>
        <v/>
      </c>
      <c r="P102" s="1">
        <v>0</v>
      </c>
      <c r="R102" s="1">
        <f>P111+1</f>
        <v>10</v>
      </c>
      <c r="S102" s="13" t="s">
        <v>1323</v>
      </c>
    </row>
    <row r="103" spans="1:19">
      <c r="A103" s="5" t="s">
        <v>1343</v>
      </c>
      <c r="B103" s="1">
        <f>ROUNDDOWN(A102-B102,-10)</f>
        <v>0</v>
      </c>
      <c r="C103" s="1" t="str">
        <f t="shared" si="32"/>
        <v>0</v>
      </c>
      <c r="D103" s="1">
        <f t="shared" si="33"/>
        <v>0</v>
      </c>
      <c r="E103" s="1">
        <f>IF(D103=1,D103*10+D104,0)</f>
        <v>0</v>
      </c>
      <c r="F103" s="1">
        <f>IF(E103=0,0,VLOOKUP(E103,$R$82:$S$91,2))</f>
        <v>0</v>
      </c>
      <c r="G103" s="1" t="str">
        <f>IF(D103=0,"",(VLOOKUP(D103,$P$82:$Q$91,2)))</f>
        <v/>
      </c>
      <c r="H103" s="1" t="str">
        <f>IF(D103=1,"se",G103)</f>
        <v/>
      </c>
      <c r="I103" s="1" t="str">
        <f>IF(F103=0,H103,F103)</f>
        <v/>
      </c>
      <c r="J103" s="1" t="str">
        <f>IF(D103=0,""," puluh")</f>
        <v/>
      </c>
      <c r="K103" s="1" t="str">
        <f t="shared" si="34"/>
        <v/>
      </c>
      <c r="L103" s="1" t="str">
        <f t="shared" ref="L103:L115" si="35">I103&amp;K103</f>
        <v/>
      </c>
      <c r="M103" s="1" t="str">
        <f t="shared" ref="M103:M114" si="36">IF(OR(L103="",L104=""),""," ")</f>
        <v/>
      </c>
      <c r="P103" s="1">
        <v>1</v>
      </c>
      <c r="Q103" s="1" t="s">
        <v>1325</v>
      </c>
      <c r="R103" s="1">
        <f t="shared" ref="R103:R111" si="37">R102+1</f>
        <v>11</v>
      </c>
      <c r="S103" s="13" t="s">
        <v>1326</v>
      </c>
    </row>
    <row r="104" spans="1:19">
      <c r="A104" s="5"/>
      <c r="B104" s="1">
        <f>ROUNDDOWN(A102-B103-B102,-9)</f>
        <v>0</v>
      </c>
      <c r="C104" s="1" t="str">
        <f t="shared" si="32"/>
        <v>0</v>
      </c>
      <c r="D104" s="1">
        <f t="shared" si="33"/>
        <v>0</v>
      </c>
      <c r="G104" s="1" t="str">
        <f t="shared" ref="G104:G115" si="38">IF(D104=0,"",(VLOOKUP(D104,$P$82:$Q$91,2)))</f>
        <v/>
      </c>
      <c r="H104" s="1" t="str">
        <f>IF(D104=1,"satu",G104)</f>
        <v/>
      </c>
      <c r="I104" s="1" t="str">
        <f>IF(E103=0,IF(F104=0,H104,F104),"")</f>
        <v/>
      </c>
      <c r="J104" s="1" t="str">
        <f>IF(D102+D103+D104=0,"",IF(D103=1,"milyar"," milyar"))</f>
        <v/>
      </c>
      <c r="K104" s="1" t="str">
        <f t="shared" si="34"/>
        <v/>
      </c>
      <c r="L104" s="1" t="str">
        <f t="shared" si="35"/>
        <v/>
      </c>
      <c r="M104" s="1" t="str">
        <f t="shared" si="36"/>
        <v/>
      </c>
      <c r="P104" s="1">
        <f t="shared" ref="P104:P111" si="39">P103+1</f>
        <v>2</v>
      </c>
      <c r="Q104" s="1" t="s">
        <v>1327</v>
      </c>
      <c r="R104" s="1">
        <f t="shared" si="37"/>
        <v>12</v>
      </c>
      <c r="S104" s="13" t="s">
        <v>1328</v>
      </c>
    </row>
    <row r="105" spans="1:19">
      <c r="A105" s="5"/>
      <c r="B105" s="1">
        <f>ROUNDDOWN(A102-B104-B103-B102,-8)</f>
        <v>0</v>
      </c>
      <c r="C105" s="1" t="str">
        <f t="shared" si="32"/>
        <v>0</v>
      </c>
      <c r="D105" s="1">
        <f t="shared" si="33"/>
        <v>0</v>
      </c>
      <c r="G105" s="1" t="str">
        <f t="shared" si="38"/>
        <v/>
      </c>
      <c r="H105" s="1" t="str">
        <f>IF(D105=1,"se",G105)</f>
        <v/>
      </c>
      <c r="I105" s="1" t="str">
        <f>IF(F105=0,H105,F105)</f>
        <v/>
      </c>
      <c r="J105" s="1" t="str">
        <f>IF(D105=1,"ratus",IF(D105=0,""," ratus"))</f>
        <v/>
      </c>
      <c r="K105" s="1" t="str">
        <f t="shared" si="34"/>
        <v/>
      </c>
      <c r="L105" s="1" t="str">
        <f t="shared" si="35"/>
        <v/>
      </c>
      <c r="M105" s="1" t="str">
        <f t="shared" si="36"/>
        <v/>
      </c>
      <c r="P105" s="1">
        <f t="shared" si="39"/>
        <v>3</v>
      </c>
      <c r="Q105" s="1" t="s">
        <v>1329</v>
      </c>
      <c r="R105" s="1">
        <f t="shared" si="37"/>
        <v>13</v>
      </c>
      <c r="S105" s="13" t="s">
        <v>1330</v>
      </c>
    </row>
    <row r="106" spans="1:19">
      <c r="A106" s="5"/>
      <c r="B106" s="1">
        <f>ROUNDDOWN(A102-B105-B104-B103-B102,-7)</f>
        <v>0</v>
      </c>
      <c r="C106" s="1" t="str">
        <f t="shared" si="32"/>
        <v>0</v>
      </c>
      <c r="D106" s="1">
        <f t="shared" si="33"/>
        <v>0</v>
      </c>
      <c r="E106" s="1">
        <f>IF(D106=1,D106*10+D107,0)</f>
        <v>0</v>
      </c>
      <c r="F106" s="1">
        <f>IF(E106=0,0,VLOOKUP(E106,$R$82:$S$91,2))</f>
        <v>0</v>
      </c>
      <c r="G106" s="1" t="str">
        <f t="shared" si="38"/>
        <v/>
      </c>
      <c r="H106" s="1" t="str">
        <f>IF(D106=1,"se",G106)</f>
        <v/>
      </c>
      <c r="I106" s="1" t="str">
        <f>IF(F106=0,H106,F106)</f>
        <v/>
      </c>
      <c r="J106" s="1" t="str">
        <f>IF(D106=0,""," puluh")</f>
        <v/>
      </c>
      <c r="K106" s="1" t="str">
        <f t="shared" si="34"/>
        <v/>
      </c>
      <c r="L106" s="1" t="str">
        <f t="shared" si="35"/>
        <v/>
      </c>
      <c r="M106" s="1" t="str">
        <f t="shared" si="36"/>
        <v/>
      </c>
      <c r="P106" s="1">
        <f t="shared" si="39"/>
        <v>4</v>
      </c>
      <c r="Q106" s="1" t="s">
        <v>1331</v>
      </c>
      <c r="R106" s="1">
        <f t="shared" si="37"/>
        <v>14</v>
      </c>
      <c r="S106" s="13" t="s">
        <v>1332</v>
      </c>
    </row>
    <row r="107" spans="1:19">
      <c r="A107" s="5"/>
      <c r="B107" s="1">
        <f>ROUNDDOWN(A102-B106-B105-B104-B103-B102,-6)</f>
        <v>0</v>
      </c>
      <c r="C107" s="1" t="str">
        <f t="shared" si="32"/>
        <v>0</v>
      </c>
      <c r="D107" s="1">
        <f t="shared" si="33"/>
        <v>0</v>
      </c>
      <c r="G107" s="1" t="str">
        <f t="shared" si="38"/>
        <v/>
      </c>
      <c r="H107" s="1" t="str">
        <f>IF(D107=1,"satu",G107)</f>
        <v/>
      </c>
      <c r="I107" s="1" t="str">
        <f>IF(E106=0,IF(F107=0,H107,F107),"")</f>
        <v/>
      </c>
      <c r="J107" s="1" t="str">
        <f>IF(D107+D106+D105=0,"",IF(D106=1,"juta"," juta"))</f>
        <v/>
      </c>
      <c r="K107" s="1" t="str">
        <f t="shared" si="34"/>
        <v/>
      </c>
      <c r="L107" s="1" t="str">
        <f t="shared" si="35"/>
        <v/>
      </c>
      <c r="M107" s="1" t="str">
        <f t="shared" si="36"/>
        <v/>
      </c>
      <c r="P107" s="1">
        <f t="shared" si="39"/>
        <v>5</v>
      </c>
      <c r="Q107" s="1" t="s">
        <v>1333</v>
      </c>
      <c r="R107" s="1">
        <f t="shared" si="37"/>
        <v>15</v>
      </c>
      <c r="S107" s="13" t="s">
        <v>1334</v>
      </c>
    </row>
    <row r="108" spans="1:19">
      <c r="A108" s="5"/>
      <c r="B108" s="1">
        <f>ROUNDDOWN(A102-B107-B106-B105-B104-B103-B102,-5)</f>
        <v>0</v>
      </c>
      <c r="C108" s="1" t="str">
        <f t="shared" si="32"/>
        <v>0</v>
      </c>
      <c r="D108" s="1">
        <f t="shared" si="33"/>
        <v>0</v>
      </c>
      <c r="G108" s="1" t="str">
        <f t="shared" si="38"/>
        <v/>
      </c>
      <c r="H108" s="1" t="str">
        <f>IF(D108=1,"se",G108)</f>
        <v/>
      </c>
      <c r="I108" s="1" t="str">
        <f>IF(F108=0,H108,F108)</f>
        <v/>
      </c>
      <c r="J108" s="1" t="str">
        <f>IF(D108=1,"ratus",IF(D108=0,""," ratus"))</f>
        <v/>
      </c>
      <c r="K108" s="1" t="str">
        <f t="shared" si="34"/>
        <v/>
      </c>
      <c r="L108" s="1" t="str">
        <f t="shared" si="35"/>
        <v/>
      </c>
      <c r="M108" s="1" t="str">
        <f t="shared" si="36"/>
        <v/>
      </c>
      <c r="P108" s="1">
        <f t="shared" si="39"/>
        <v>6</v>
      </c>
      <c r="Q108" s="1" t="s">
        <v>1335</v>
      </c>
      <c r="R108" s="1">
        <f t="shared" si="37"/>
        <v>16</v>
      </c>
      <c r="S108" s="13" t="s">
        <v>1336</v>
      </c>
    </row>
    <row r="109" spans="1:19">
      <c r="A109" s="5"/>
      <c r="B109" s="1">
        <f>ROUNDDOWN(A102-B108-B107-B106-B105-B104-B103-B102,-4)</f>
        <v>0</v>
      </c>
      <c r="C109" s="1" t="str">
        <f t="shared" si="32"/>
        <v>0</v>
      </c>
      <c r="D109" s="1">
        <f t="shared" si="33"/>
        <v>0</v>
      </c>
      <c r="E109" s="1">
        <f>IF(D109=1,D109*10+D110,0)</f>
        <v>0</v>
      </c>
      <c r="F109" s="1">
        <f>IF(E109=0,0,VLOOKUP(E109,$R$82:$S$91,2))</f>
        <v>0</v>
      </c>
      <c r="G109" s="1" t="str">
        <f t="shared" si="38"/>
        <v/>
      </c>
      <c r="H109" s="1" t="str">
        <f>IF(D109=1,"se",G109)</f>
        <v/>
      </c>
      <c r="I109" s="1" t="str">
        <f>IF(F109=0,H109,F109)</f>
        <v/>
      </c>
      <c r="J109" s="1" t="str">
        <f>IF(D109=0,""," puluh")</f>
        <v/>
      </c>
      <c r="K109" s="1" t="str">
        <f t="shared" si="34"/>
        <v/>
      </c>
      <c r="L109" s="1" t="str">
        <f t="shared" si="35"/>
        <v/>
      </c>
      <c r="M109" s="1" t="str">
        <f t="shared" si="36"/>
        <v/>
      </c>
      <c r="P109" s="1">
        <f t="shared" si="39"/>
        <v>7</v>
      </c>
      <c r="Q109" s="1" t="s">
        <v>1337</v>
      </c>
      <c r="R109" s="1">
        <f t="shared" si="37"/>
        <v>17</v>
      </c>
      <c r="S109" s="13" t="s">
        <v>1338</v>
      </c>
    </row>
    <row r="110" spans="1:19">
      <c r="A110" s="5"/>
      <c r="B110" s="1">
        <f>ROUNDDOWN(A102-B109-B108-B107-B106-B105-B104-B103-B102,-3)</f>
        <v>0</v>
      </c>
      <c r="C110" s="1" t="str">
        <f t="shared" si="32"/>
        <v>0</v>
      </c>
      <c r="D110" s="1">
        <f t="shared" si="33"/>
        <v>0</v>
      </c>
      <c r="G110" s="1" t="str">
        <f t="shared" si="38"/>
        <v/>
      </c>
      <c r="H110" s="1" t="str">
        <f>IF(AND(D110=1,D109+D108=0),"se",IF(D110=1,"satu",G110))</f>
        <v/>
      </c>
      <c r="I110" s="1" t="str">
        <f>IF(E109=0,IF(F110=0,H110,F110),"")</f>
        <v/>
      </c>
      <c r="J110" s="1" t="str">
        <f>IF(AND(D110=1,D109+D108=0),"ribu",IF(D109=1,"ribu",IF(D110+D109+D108=0,""," ribu")))</f>
        <v/>
      </c>
      <c r="K110" s="1" t="str">
        <f t="shared" si="34"/>
        <v/>
      </c>
      <c r="L110" s="1" t="str">
        <f t="shared" si="35"/>
        <v/>
      </c>
      <c r="M110" s="1" t="str">
        <f t="shared" si="36"/>
        <v/>
      </c>
      <c r="P110" s="1">
        <f t="shared" si="39"/>
        <v>8</v>
      </c>
      <c r="Q110" s="1" t="s">
        <v>1339</v>
      </c>
      <c r="R110" s="1">
        <f t="shared" si="37"/>
        <v>18</v>
      </c>
      <c r="S110" s="13" t="s">
        <v>1340</v>
      </c>
    </row>
    <row r="111" spans="1:19">
      <c r="A111" s="5"/>
      <c r="B111" s="1">
        <f>ROUNDDOWN(A102-B110-B109-B108-B107-B106-B105-B104-B103-B102,-2)</f>
        <v>0</v>
      </c>
      <c r="C111" s="1" t="str">
        <f t="shared" si="32"/>
        <v>0</v>
      </c>
      <c r="D111" s="1">
        <f t="shared" si="33"/>
        <v>0</v>
      </c>
      <c r="G111" s="1" t="str">
        <f t="shared" si="38"/>
        <v/>
      </c>
      <c r="H111" s="1" t="str">
        <f>IF(D111=1,"se",G111)</f>
        <v/>
      </c>
      <c r="I111" s="1" t="str">
        <f>IF(F111=0,H111,F111)</f>
        <v/>
      </c>
      <c r="J111" s="1" t="str">
        <f>IF(D111=1,"ratus",IF(D111=0,""," ratus"))</f>
        <v/>
      </c>
      <c r="K111" s="1" t="str">
        <f t="shared" si="34"/>
        <v/>
      </c>
      <c r="L111" s="1" t="str">
        <f t="shared" si="35"/>
        <v/>
      </c>
      <c r="M111" s="1" t="str">
        <f t="shared" si="36"/>
        <v/>
      </c>
      <c r="P111" s="1">
        <f t="shared" si="39"/>
        <v>9</v>
      </c>
      <c r="Q111" s="1" t="s">
        <v>1341</v>
      </c>
      <c r="R111" s="1">
        <f t="shared" si="37"/>
        <v>19</v>
      </c>
      <c r="S111" s="13" t="s">
        <v>1342</v>
      </c>
    </row>
    <row r="112" spans="1:19">
      <c r="A112" s="5"/>
      <c r="B112" s="1">
        <f>ROUNDDOWN(A102-B111-B110-B109-B108-B107-B106-B105-B104-B103-B102,-1)</f>
        <v>90</v>
      </c>
      <c r="C112" s="1" t="str">
        <f t="shared" si="32"/>
        <v>9</v>
      </c>
      <c r="D112" s="1">
        <f t="shared" si="33"/>
        <v>9</v>
      </c>
      <c r="E112" s="1">
        <f>IF(D112=1,D112*10+D113,0)</f>
        <v>0</v>
      </c>
      <c r="F112" s="1">
        <f>IF(E112=0,0,VLOOKUP(E112,$R$82:$S$91,2))</f>
        <v>0</v>
      </c>
      <c r="G112" s="1" t="str">
        <f t="shared" si="38"/>
        <v>sembilan</v>
      </c>
      <c r="H112" s="1" t="str">
        <f>IF(D112=1,"se",G112)</f>
        <v>sembilan</v>
      </c>
      <c r="I112" s="1" t="str">
        <f>IF(F112=0,H112,F112)</f>
        <v>sembilan</v>
      </c>
      <c r="J112" s="1" t="str">
        <f>IF(D112=0,""," puluh")</f>
        <v xml:space="preserve"> puluh</v>
      </c>
      <c r="K112" s="1" t="str">
        <f t="shared" si="34"/>
        <v xml:space="preserve"> puluh</v>
      </c>
      <c r="L112" s="1" t="str">
        <f t="shared" si="35"/>
        <v>sembilan puluh</v>
      </c>
      <c r="M112" s="1" t="str">
        <f t="shared" si="36"/>
        <v/>
      </c>
      <c r="S112" s="13"/>
    </row>
    <row r="113" spans="1:19">
      <c r="A113" s="5"/>
      <c r="B113" s="1">
        <f>ROUNDDOWN(A102-B112-B111-B110-B109-B108-B107-B106-B105-B104-B103-B102,0)</f>
        <v>0</v>
      </c>
      <c r="C113" s="1" t="str">
        <f t="shared" si="32"/>
        <v>0</v>
      </c>
      <c r="D113" s="1">
        <f t="shared" si="33"/>
        <v>0</v>
      </c>
      <c r="G113" s="1" t="str">
        <f t="shared" si="38"/>
        <v/>
      </c>
      <c r="H113" s="1" t="str">
        <f>IF(D113=1,"satu",G113)</f>
        <v/>
      </c>
      <c r="I113" s="1" t="str">
        <f>IF(E112=0,IF(F113=0,H113,F113),"")</f>
        <v/>
      </c>
      <c r="J113" s="1" t="str">
        <f>IF(D114+D115=0,"","koma")</f>
        <v/>
      </c>
      <c r="K113" s="1" t="str">
        <f t="shared" si="34"/>
        <v/>
      </c>
      <c r="L113" s="1" t="str">
        <f t="shared" si="35"/>
        <v/>
      </c>
      <c r="M113" s="1" t="str">
        <f t="shared" si="36"/>
        <v/>
      </c>
      <c r="S113" s="13"/>
    </row>
    <row r="114" spans="1:19">
      <c r="A114" s="5"/>
      <c r="B114" s="1">
        <f>ROUNDDOWN(A102-B113-B112-B111-B110-B109-B108-B107-B106-B105-B104-B103-B102,1)*10</f>
        <v>0</v>
      </c>
      <c r="C114" s="1" t="str">
        <f t="shared" si="32"/>
        <v>0</v>
      </c>
      <c r="D114" s="1">
        <f t="shared" si="33"/>
        <v>0</v>
      </c>
      <c r="G114" s="1" t="str">
        <f t="shared" si="38"/>
        <v/>
      </c>
      <c r="H114" s="1" t="str">
        <f>IF(D114=1,"satu",G114)</f>
        <v/>
      </c>
      <c r="I114" s="1" t="str">
        <f>IF(F114=0,H114,F114)</f>
        <v/>
      </c>
      <c r="L114" s="1" t="str">
        <f t="shared" si="35"/>
        <v/>
      </c>
      <c r="M114" s="1" t="str">
        <f t="shared" si="36"/>
        <v/>
      </c>
      <c r="S114" s="13"/>
    </row>
    <row r="115" spans="1:19">
      <c r="A115" s="5"/>
      <c r="B115" s="1">
        <f>ROUND(A102-B114/10-B113-B112-B111-B110-B109-B108-B107-B106-B105-B104-B103-B102,2)</f>
        <v>0</v>
      </c>
      <c r="C115" s="1" t="str">
        <f>RIGHT(B115)</f>
        <v>0</v>
      </c>
      <c r="D115" s="1">
        <f t="shared" si="33"/>
        <v>0</v>
      </c>
      <c r="G115" s="1" t="str">
        <f t="shared" si="38"/>
        <v/>
      </c>
      <c r="H115" s="1" t="str">
        <f>IF(D115=1,"satu",G115)</f>
        <v/>
      </c>
      <c r="I115" s="1" t="str">
        <f>IF(E114+E115=0,IF(F115=0,H115,F115),"")</f>
        <v/>
      </c>
      <c r="L115" s="1" t="str">
        <f t="shared" si="35"/>
        <v/>
      </c>
      <c r="S115" s="13"/>
    </row>
    <row r="116" spans="1:19">
      <c r="A116" s="5"/>
      <c r="S116" s="13"/>
    </row>
    <row r="117" spans="1:19">
      <c r="A117" s="5"/>
      <c r="S117" s="13"/>
    </row>
    <row r="118" spans="1:19">
      <c r="A118" s="5"/>
      <c r="S118" s="13"/>
    </row>
    <row r="119" spans="1:19">
      <c r="A119" s="5"/>
      <c r="S119" s="13"/>
    </row>
    <row r="120" spans="1:19">
      <c r="A120" s="7"/>
      <c r="B120" s="8"/>
      <c r="C120" s="8"/>
      <c r="D120" s="8"/>
      <c r="E120" s="8"/>
      <c r="F120" s="8"/>
      <c r="G120" s="8"/>
      <c r="H120" s="8"/>
      <c r="I120" s="8"/>
      <c r="J120" s="8"/>
      <c r="K120" s="8"/>
      <c r="L120" s="8"/>
      <c r="M120" s="8"/>
      <c r="N120" s="8"/>
      <c r="O120" s="8"/>
      <c r="P120" s="8"/>
      <c r="Q120" s="8"/>
      <c r="R120" s="8"/>
      <c r="S120" s="17"/>
    </row>
    <row r="121" spans="1:19">
      <c r="A121" s="2" t="str">
        <f>L122&amp;M122&amp;L123&amp;M123&amp;L124&amp;M124&amp;L125&amp;M125&amp;L126&amp;M126&amp;L127&amp;M127&amp;L128&amp;M128&amp;L129&amp;M129&amp;L130&amp;M130&amp;L131&amp;M131&amp;L132&amp;M132&amp;L133&amp;M133&amp;L134&amp;M134&amp;L135</f>
        <v>tiga puluh</v>
      </c>
      <c r="B121" s="3"/>
      <c r="C121" s="3"/>
      <c r="D121" s="3"/>
      <c r="E121" s="3"/>
      <c r="F121" s="3"/>
      <c r="G121" s="3"/>
      <c r="H121" s="3"/>
      <c r="I121" s="3"/>
      <c r="J121" s="3"/>
      <c r="K121" s="3"/>
      <c r="L121" s="3"/>
      <c r="M121" s="3"/>
      <c r="N121" s="3"/>
      <c r="O121" s="3"/>
      <c r="P121" s="3"/>
      <c r="Q121" s="3"/>
      <c r="R121" s="3"/>
      <c r="S121" s="9"/>
    </row>
    <row r="122" spans="1:19">
      <c r="A122" s="4">
        <f>Input!$E$138</f>
        <v>30</v>
      </c>
      <c r="B122" s="1">
        <f>ROUNDDOWN(A122,-11)</f>
        <v>0</v>
      </c>
      <c r="C122" s="1" t="str">
        <f t="shared" ref="C122:C134" si="40">LEFT(B122)</f>
        <v>0</v>
      </c>
      <c r="D122" s="1">
        <f t="shared" ref="D122:D135" si="41">VALUE(C122)</f>
        <v>0</v>
      </c>
      <c r="G122" s="1" t="str">
        <f>IF(D122=0,"",(VLOOKUP(D122,$P$82:$Q$91,2)))</f>
        <v/>
      </c>
      <c r="H122" s="1" t="str">
        <f>IF(D122=1,"se",G122)</f>
        <v/>
      </c>
      <c r="I122" s="1" t="str">
        <f>IF(F122=0,H122,F122)</f>
        <v/>
      </c>
      <c r="J122" s="1" t="str">
        <f>IF(D122=1,"ratus",IF(D122=0,""," ratus"))</f>
        <v/>
      </c>
      <c r="K122" s="1" t="str">
        <f t="shared" ref="K122:K133" si="42">IF(E122=0,J122,"")</f>
        <v/>
      </c>
      <c r="L122" s="1" t="str">
        <f>I122&amp;K122</f>
        <v/>
      </c>
      <c r="M122" s="1" t="str">
        <f>IF(OR(L122="",L123=""),""," ")</f>
        <v/>
      </c>
      <c r="P122" s="1">
        <v>0</v>
      </c>
      <c r="R122" s="1">
        <f>P131+1</f>
        <v>10</v>
      </c>
      <c r="S122" s="13" t="s">
        <v>1323</v>
      </c>
    </row>
    <row r="123" spans="1:19">
      <c r="A123" s="5" t="s">
        <v>1344</v>
      </c>
      <c r="B123" s="1">
        <f>ROUNDDOWN(A122-B122,-10)</f>
        <v>0</v>
      </c>
      <c r="C123" s="1" t="str">
        <f t="shared" si="40"/>
        <v>0</v>
      </c>
      <c r="D123" s="1">
        <f t="shared" si="41"/>
        <v>0</v>
      </c>
      <c r="E123" s="1">
        <f>IF(D123=1,D123*10+D124,0)</f>
        <v>0</v>
      </c>
      <c r="F123" s="1">
        <f>IF(E123=0,0,VLOOKUP(E123,$R$82:$S$91,2))</f>
        <v>0</v>
      </c>
      <c r="G123" s="1" t="str">
        <f>IF(D123=0,"",(VLOOKUP(D123,$P$82:$Q$91,2)))</f>
        <v/>
      </c>
      <c r="H123" s="1" t="str">
        <f>IF(D123=1,"se",G123)</f>
        <v/>
      </c>
      <c r="I123" s="1" t="str">
        <f>IF(F123=0,H123,F123)</f>
        <v/>
      </c>
      <c r="J123" s="1" t="str">
        <f>IF(D123=0,""," puluh")</f>
        <v/>
      </c>
      <c r="K123" s="1" t="str">
        <f t="shared" si="42"/>
        <v/>
      </c>
      <c r="L123" s="1" t="str">
        <f t="shared" ref="L123:L135" si="43">I123&amp;K123</f>
        <v/>
      </c>
      <c r="M123" s="1" t="str">
        <f t="shared" ref="M123:M134" si="44">IF(OR(L123="",L124=""),""," ")</f>
        <v/>
      </c>
      <c r="P123" s="1">
        <v>1</v>
      </c>
      <c r="Q123" s="1" t="s">
        <v>1325</v>
      </c>
      <c r="R123" s="1">
        <f t="shared" ref="R123:R131" si="45">R122+1</f>
        <v>11</v>
      </c>
      <c r="S123" s="13" t="s">
        <v>1326</v>
      </c>
    </row>
    <row r="124" spans="1:19">
      <c r="A124" s="5"/>
      <c r="B124" s="1">
        <f>ROUNDDOWN(A122-B123-B122,-9)</f>
        <v>0</v>
      </c>
      <c r="C124" s="1" t="str">
        <f t="shared" si="40"/>
        <v>0</v>
      </c>
      <c r="D124" s="1">
        <f t="shared" si="41"/>
        <v>0</v>
      </c>
      <c r="G124" s="1" t="str">
        <f t="shared" ref="G124:G135" si="46">IF(D124=0,"",(VLOOKUP(D124,$P$82:$Q$91,2)))</f>
        <v/>
      </c>
      <c r="H124" s="1" t="str">
        <f>IF(D124=1,"satu",G124)</f>
        <v/>
      </c>
      <c r="I124" s="1" t="str">
        <f>IF(E123=0,IF(F124=0,H124,F124),"")</f>
        <v/>
      </c>
      <c r="J124" s="1" t="str">
        <f>IF(D122+D123+D124=0,"",IF(D123=1,"milyar"," milyar"))</f>
        <v/>
      </c>
      <c r="K124" s="1" t="str">
        <f t="shared" si="42"/>
        <v/>
      </c>
      <c r="L124" s="1" t="str">
        <f t="shared" si="43"/>
        <v/>
      </c>
      <c r="M124" s="1" t="str">
        <f t="shared" si="44"/>
        <v/>
      </c>
      <c r="P124" s="1">
        <f t="shared" ref="P124:P131" si="47">P123+1</f>
        <v>2</v>
      </c>
      <c r="Q124" s="1" t="s">
        <v>1327</v>
      </c>
      <c r="R124" s="1">
        <f t="shared" si="45"/>
        <v>12</v>
      </c>
      <c r="S124" s="13" t="s">
        <v>1328</v>
      </c>
    </row>
    <row r="125" spans="1:19">
      <c r="A125" s="5"/>
      <c r="B125" s="1">
        <f>ROUNDDOWN(A122-B124-B123-B122,-8)</f>
        <v>0</v>
      </c>
      <c r="C125" s="1" t="str">
        <f t="shared" si="40"/>
        <v>0</v>
      </c>
      <c r="D125" s="1">
        <f t="shared" si="41"/>
        <v>0</v>
      </c>
      <c r="G125" s="1" t="str">
        <f t="shared" si="46"/>
        <v/>
      </c>
      <c r="H125" s="1" t="str">
        <f>IF(D125=1,"se",G125)</f>
        <v/>
      </c>
      <c r="I125" s="1" t="str">
        <f>IF(F125=0,H125,F125)</f>
        <v/>
      </c>
      <c r="J125" s="1" t="str">
        <f>IF(D125=1,"ratus",IF(D125=0,""," ratus"))</f>
        <v/>
      </c>
      <c r="K125" s="1" t="str">
        <f t="shared" si="42"/>
        <v/>
      </c>
      <c r="L125" s="1" t="str">
        <f t="shared" si="43"/>
        <v/>
      </c>
      <c r="M125" s="1" t="str">
        <f t="shared" si="44"/>
        <v/>
      </c>
      <c r="P125" s="1">
        <f t="shared" si="47"/>
        <v>3</v>
      </c>
      <c r="Q125" s="1" t="s">
        <v>1329</v>
      </c>
      <c r="R125" s="1">
        <f t="shared" si="45"/>
        <v>13</v>
      </c>
      <c r="S125" s="13" t="s">
        <v>1330</v>
      </c>
    </row>
    <row r="126" spans="1:19">
      <c r="A126" s="5"/>
      <c r="B126" s="1">
        <f>ROUNDDOWN(A122-B125-B124-B123-B122,-7)</f>
        <v>0</v>
      </c>
      <c r="C126" s="1" t="str">
        <f t="shared" si="40"/>
        <v>0</v>
      </c>
      <c r="D126" s="1">
        <f t="shared" si="41"/>
        <v>0</v>
      </c>
      <c r="E126" s="1">
        <f>IF(D126=1,D126*10+D127,0)</f>
        <v>0</v>
      </c>
      <c r="F126" s="1">
        <f>IF(E126=0,0,VLOOKUP(E126,$R$82:$S$91,2))</f>
        <v>0</v>
      </c>
      <c r="G126" s="1" t="str">
        <f t="shared" si="46"/>
        <v/>
      </c>
      <c r="H126" s="1" t="str">
        <f>IF(D126=1,"se",G126)</f>
        <v/>
      </c>
      <c r="I126" s="1" t="str">
        <f>IF(F126=0,H126,F126)</f>
        <v/>
      </c>
      <c r="J126" s="1" t="str">
        <f>IF(D126=0,""," puluh")</f>
        <v/>
      </c>
      <c r="K126" s="1" t="str">
        <f t="shared" si="42"/>
        <v/>
      </c>
      <c r="L126" s="1" t="str">
        <f t="shared" si="43"/>
        <v/>
      </c>
      <c r="M126" s="1" t="str">
        <f t="shared" si="44"/>
        <v/>
      </c>
      <c r="P126" s="1">
        <f t="shared" si="47"/>
        <v>4</v>
      </c>
      <c r="Q126" s="1" t="s">
        <v>1331</v>
      </c>
      <c r="R126" s="1">
        <f t="shared" si="45"/>
        <v>14</v>
      </c>
      <c r="S126" s="13" t="s">
        <v>1332</v>
      </c>
    </row>
    <row r="127" spans="1:19">
      <c r="A127" s="5"/>
      <c r="B127" s="1">
        <f>ROUNDDOWN(A122-B126-B125-B124-B123-B122,-6)</f>
        <v>0</v>
      </c>
      <c r="C127" s="1" t="str">
        <f t="shared" si="40"/>
        <v>0</v>
      </c>
      <c r="D127" s="1">
        <f t="shared" si="41"/>
        <v>0</v>
      </c>
      <c r="G127" s="1" t="str">
        <f t="shared" si="46"/>
        <v/>
      </c>
      <c r="H127" s="1" t="str">
        <f>IF(D127=1,"satu",G127)</f>
        <v/>
      </c>
      <c r="I127" s="1" t="str">
        <f>IF(E126=0,IF(F127=0,H127,F127),"")</f>
        <v/>
      </c>
      <c r="J127" s="1" t="str">
        <f>IF(D127+D126+D125=0,"",IF(D126=1,"juta"," juta"))</f>
        <v/>
      </c>
      <c r="K127" s="1" t="str">
        <f t="shared" si="42"/>
        <v/>
      </c>
      <c r="L127" s="1" t="str">
        <f t="shared" si="43"/>
        <v/>
      </c>
      <c r="M127" s="1" t="str">
        <f t="shared" si="44"/>
        <v/>
      </c>
      <c r="P127" s="1">
        <f t="shared" si="47"/>
        <v>5</v>
      </c>
      <c r="Q127" s="1" t="s">
        <v>1333</v>
      </c>
      <c r="R127" s="1">
        <f t="shared" si="45"/>
        <v>15</v>
      </c>
      <c r="S127" s="13" t="s">
        <v>1334</v>
      </c>
    </row>
    <row r="128" spans="1:19">
      <c r="A128" s="5"/>
      <c r="B128" s="1">
        <f>ROUNDDOWN(A122-B127-B126-B125-B124-B123-B122,-5)</f>
        <v>0</v>
      </c>
      <c r="C128" s="1" t="str">
        <f t="shared" si="40"/>
        <v>0</v>
      </c>
      <c r="D128" s="1">
        <f t="shared" si="41"/>
        <v>0</v>
      </c>
      <c r="G128" s="1" t="str">
        <f t="shared" si="46"/>
        <v/>
      </c>
      <c r="H128" s="1" t="str">
        <f>IF(D128=1,"se",G128)</f>
        <v/>
      </c>
      <c r="I128" s="1" t="str">
        <f>IF(F128=0,H128,F128)</f>
        <v/>
      </c>
      <c r="J128" s="1" t="str">
        <f>IF(D128=1,"ratus",IF(D128=0,""," ratus"))</f>
        <v/>
      </c>
      <c r="K128" s="1" t="str">
        <f t="shared" si="42"/>
        <v/>
      </c>
      <c r="L128" s="1" t="str">
        <f t="shared" si="43"/>
        <v/>
      </c>
      <c r="M128" s="1" t="str">
        <f t="shared" si="44"/>
        <v/>
      </c>
      <c r="P128" s="1">
        <f t="shared" si="47"/>
        <v>6</v>
      </c>
      <c r="Q128" s="1" t="s">
        <v>1335</v>
      </c>
      <c r="R128" s="1">
        <f t="shared" si="45"/>
        <v>16</v>
      </c>
      <c r="S128" s="13" t="s">
        <v>1336</v>
      </c>
    </row>
    <row r="129" spans="1:19">
      <c r="A129" s="5"/>
      <c r="B129" s="1">
        <f>ROUNDDOWN(A122-B128-B127-B126-B125-B124-B123-B122,-4)</f>
        <v>0</v>
      </c>
      <c r="C129" s="1" t="str">
        <f t="shared" si="40"/>
        <v>0</v>
      </c>
      <c r="D129" s="1">
        <f t="shared" si="41"/>
        <v>0</v>
      </c>
      <c r="E129" s="1">
        <f>IF(D129=1,D129*10+D130,0)</f>
        <v>0</v>
      </c>
      <c r="F129" s="1">
        <f>IF(E129=0,0,VLOOKUP(E129,$R$82:$S$91,2))</f>
        <v>0</v>
      </c>
      <c r="G129" s="1" t="str">
        <f t="shared" si="46"/>
        <v/>
      </c>
      <c r="H129" s="1" t="str">
        <f>IF(D129=1,"se",G129)</f>
        <v/>
      </c>
      <c r="I129" s="1" t="str">
        <f>IF(F129=0,H129,F129)</f>
        <v/>
      </c>
      <c r="J129" s="1" t="str">
        <f>IF(D129=0,""," puluh")</f>
        <v/>
      </c>
      <c r="K129" s="1" t="str">
        <f t="shared" si="42"/>
        <v/>
      </c>
      <c r="L129" s="1" t="str">
        <f t="shared" si="43"/>
        <v/>
      </c>
      <c r="M129" s="1" t="str">
        <f t="shared" si="44"/>
        <v/>
      </c>
      <c r="P129" s="1">
        <f t="shared" si="47"/>
        <v>7</v>
      </c>
      <c r="Q129" s="1" t="s">
        <v>1337</v>
      </c>
      <c r="R129" s="1">
        <f t="shared" si="45"/>
        <v>17</v>
      </c>
      <c r="S129" s="13" t="s">
        <v>1338</v>
      </c>
    </row>
    <row r="130" spans="1:19">
      <c r="A130" s="5"/>
      <c r="B130" s="1">
        <f>ROUNDDOWN(A122-B129-B128-B127-B126-B125-B124-B123-B122,-3)</f>
        <v>0</v>
      </c>
      <c r="C130" s="1" t="str">
        <f t="shared" si="40"/>
        <v>0</v>
      </c>
      <c r="D130" s="1">
        <f t="shared" si="41"/>
        <v>0</v>
      </c>
      <c r="G130" s="1" t="str">
        <f t="shared" si="46"/>
        <v/>
      </c>
      <c r="H130" s="1" t="str">
        <f>IF(AND(D130=1,D129+D128=0),"se",IF(D130=1,"satu",G130))</f>
        <v/>
      </c>
      <c r="I130" s="1" t="str">
        <f>IF(E129=0,IF(F130=0,H130,F130),"")</f>
        <v/>
      </c>
      <c r="J130" s="1" t="str">
        <f>IF(AND(D130=1,D129+D128=0),"ribu",IF(D129=1,"ribu",IF(D130+D129+D128=0,""," ribu")))</f>
        <v/>
      </c>
      <c r="K130" s="1" t="str">
        <f t="shared" si="42"/>
        <v/>
      </c>
      <c r="L130" s="1" t="str">
        <f t="shared" si="43"/>
        <v/>
      </c>
      <c r="M130" s="1" t="str">
        <f t="shared" si="44"/>
        <v/>
      </c>
      <c r="P130" s="1">
        <f t="shared" si="47"/>
        <v>8</v>
      </c>
      <c r="Q130" s="1" t="s">
        <v>1339</v>
      </c>
      <c r="R130" s="1">
        <f t="shared" si="45"/>
        <v>18</v>
      </c>
      <c r="S130" s="13" t="s">
        <v>1340</v>
      </c>
    </row>
    <row r="131" spans="1:19">
      <c r="A131" s="5"/>
      <c r="B131" s="1">
        <f>ROUNDDOWN(A122-B130-B129-B128-B127-B126-B125-B124-B123-B122,-2)</f>
        <v>0</v>
      </c>
      <c r="C131" s="1" t="str">
        <f t="shared" si="40"/>
        <v>0</v>
      </c>
      <c r="D131" s="1">
        <f t="shared" si="41"/>
        <v>0</v>
      </c>
      <c r="G131" s="1" t="str">
        <f t="shared" si="46"/>
        <v/>
      </c>
      <c r="H131" s="1" t="str">
        <f>IF(D131=1,"se",G131)</f>
        <v/>
      </c>
      <c r="I131" s="1" t="str">
        <f>IF(F131=0,H131,F131)</f>
        <v/>
      </c>
      <c r="J131" s="1" t="str">
        <f>IF(D131=1,"ratus",IF(D131=0,""," ratus"))</f>
        <v/>
      </c>
      <c r="K131" s="1" t="str">
        <f t="shared" si="42"/>
        <v/>
      </c>
      <c r="L131" s="1" t="str">
        <f t="shared" si="43"/>
        <v/>
      </c>
      <c r="M131" s="1" t="str">
        <f t="shared" si="44"/>
        <v/>
      </c>
      <c r="P131" s="1">
        <f t="shared" si="47"/>
        <v>9</v>
      </c>
      <c r="Q131" s="1" t="s">
        <v>1341</v>
      </c>
      <c r="R131" s="1">
        <f t="shared" si="45"/>
        <v>19</v>
      </c>
      <c r="S131" s="13" t="s">
        <v>1342</v>
      </c>
    </row>
    <row r="132" spans="1:19">
      <c r="A132" s="5"/>
      <c r="B132" s="1">
        <f>ROUNDDOWN(A122-B131-B130-B129-B128-B127-B126-B125-B124-B123-B122,-1)</f>
        <v>30</v>
      </c>
      <c r="C132" s="1" t="str">
        <f t="shared" si="40"/>
        <v>3</v>
      </c>
      <c r="D132" s="1">
        <f t="shared" si="41"/>
        <v>3</v>
      </c>
      <c r="E132" s="1">
        <f>IF(D132=1,D132*10+D133,0)</f>
        <v>0</v>
      </c>
      <c r="F132" s="1">
        <f>IF(E132=0,0,VLOOKUP(E132,$R$82:$S$91,2))</f>
        <v>0</v>
      </c>
      <c r="G132" s="1" t="str">
        <f t="shared" si="46"/>
        <v>tiga</v>
      </c>
      <c r="H132" s="1" t="str">
        <f>IF(D132=1,"se",G132)</f>
        <v>tiga</v>
      </c>
      <c r="I132" s="1" t="str">
        <f>IF(F132=0,H132,F132)</f>
        <v>tiga</v>
      </c>
      <c r="J132" s="1" t="str">
        <f>IF(D132=0,""," puluh")</f>
        <v xml:space="preserve"> puluh</v>
      </c>
      <c r="K132" s="1" t="str">
        <f t="shared" si="42"/>
        <v xml:space="preserve"> puluh</v>
      </c>
      <c r="L132" s="1" t="str">
        <f t="shared" si="43"/>
        <v>tiga puluh</v>
      </c>
      <c r="M132" s="1" t="str">
        <f t="shared" si="44"/>
        <v/>
      </c>
      <c r="S132" s="13"/>
    </row>
    <row r="133" spans="1:19">
      <c r="A133" s="5"/>
      <c r="B133" s="1">
        <f>ROUNDDOWN(A122-B132-B131-B130-B129-B128-B127-B126-B125-B124-B123-B122,0)</f>
        <v>0</v>
      </c>
      <c r="C133" s="1" t="str">
        <f t="shared" si="40"/>
        <v>0</v>
      </c>
      <c r="D133" s="1">
        <f t="shared" si="41"/>
        <v>0</v>
      </c>
      <c r="G133" s="1" t="str">
        <f t="shared" si="46"/>
        <v/>
      </c>
      <c r="H133" s="1" t="str">
        <f>IF(D133=1,"satu",G133)</f>
        <v/>
      </c>
      <c r="I133" s="1" t="str">
        <f>IF(E132=0,IF(F133=0,H133,F133),"")</f>
        <v/>
      </c>
      <c r="J133" s="1" t="str">
        <f>IF(D134+D135=0,"","koma")</f>
        <v/>
      </c>
      <c r="K133" s="1" t="str">
        <f t="shared" si="42"/>
        <v/>
      </c>
      <c r="L133" s="1" t="str">
        <f t="shared" si="43"/>
        <v/>
      </c>
      <c r="M133" s="1" t="str">
        <f t="shared" si="44"/>
        <v/>
      </c>
      <c r="S133" s="13"/>
    </row>
    <row r="134" spans="1:19">
      <c r="A134" s="5"/>
      <c r="B134" s="1">
        <f>ROUNDDOWN(A122-B133-B132-B131-B130-B129-B128-B127-B126-B125-B124-B123-B122,1)*10</f>
        <v>0</v>
      </c>
      <c r="C134" s="1" t="str">
        <f t="shared" si="40"/>
        <v>0</v>
      </c>
      <c r="D134" s="1">
        <f t="shared" si="41"/>
        <v>0</v>
      </c>
      <c r="G134" s="1" t="str">
        <f t="shared" si="46"/>
        <v/>
      </c>
      <c r="H134" s="1" t="str">
        <f>IF(D134=1,"satu",G134)</f>
        <v/>
      </c>
      <c r="I134" s="1" t="str">
        <f>IF(F134=0,H134,F134)</f>
        <v/>
      </c>
      <c r="L134" s="1" t="str">
        <f t="shared" si="43"/>
        <v/>
      </c>
      <c r="M134" s="1" t="str">
        <f t="shared" si="44"/>
        <v/>
      </c>
      <c r="S134" s="13"/>
    </row>
    <row r="135" spans="1:19">
      <c r="A135" s="5"/>
      <c r="B135" s="1">
        <f>ROUND(A122-B134/10-B133-B132-B131-B130-B129-B128-B127-B126-B125-B124-B123-B122,2)</f>
        <v>0</v>
      </c>
      <c r="C135" s="1" t="str">
        <f>RIGHT(B135)</f>
        <v>0</v>
      </c>
      <c r="D135" s="1">
        <f t="shared" si="41"/>
        <v>0</v>
      </c>
      <c r="G135" s="1" t="str">
        <f t="shared" si="46"/>
        <v/>
      </c>
      <c r="H135" s="1" t="str">
        <f>IF(D135=1,"satu",G135)</f>
        <v/>
      </c>
      <c r="I135" s="1" t="str">
        <f>IF(E134+E135=0,IF(F135=0,H135,F135),"")</f>
        <v/>
      </c>
      <c r="L135" s="1" t="str">
        <f t="shared" si="43"/>
        <v/>
      </c>
      <c r="S135" s="13"/>
    </row>
    <row r="136" spans="1:19">
      <c r="A136" s="5"/>
      <c r="S136" s="13"/>
    </row>
    <row r="137" spans="1:19">
      <c r="A137" s="5"/>
      <c r="S137" s="13"/>
    </row>
    <row r="138" spans="1:19">
      <c r="A138" s="5"/>
      <c r="S138" s="13"/>
    </row>
    <row r="139" spans="1:19">
      <c r="A139" s="5"/>
      <c r="S139" s="13"/>
    </row>
    <row r="140" spans="1:19">
      <c r="A140" s="7"/>
      <c r="B140" s="8"/>
      <c r="C140" s="8"/>
      <c r="D140" s="8"/>
      <c r="E140" s="8"/>
      <c r="F140" s="8"/>
      <c r="G140" s="8"/>
      <c r="H140" s="8"/>
      <c r="I140" s="8"/>
      <c r="J140" s="8"/>
      <c r="K140" s="8"/>
      <c r="L140" s="8"/>
      <c r="M140" s="8"/>
      <c r="N140" s="8"/>
      <c r="O140" s="8"/>
      <c r="P140" s="8"/>
      <c r="Q140" s="8"/>
      <c r="R140" s="8"/>
      <c r="S140" s="17"/>
    </row>
    <row r="141" spans="1:19">
      <c r="A141" s="2" t="str">
        <f>I142&amp;K142&amp;I143&amp;K143&amp;I144&amp;K144&amp;I145&amp;K145&amp;I146&amp;K146&amp;I147&amp;K147&amp;I148&amp;K148&amp;I149&amp;K149&amp;I150&amp;K150&amp;I151&amp;K151&amp;I152&amp;K152&amp;I153&amp;K153&amp;I154&amp;K154&amp;I155&amp;K155</f>
        <v>Enam Puluh Sembilan Juta Delapan Ratus Enam Puluh Dua Ribu Rupiah</v>
      </c>
      <c r="B141" s="3"/>
      <c r="C141" s="3"/>
      <c r="D141" s="3"/>
      <c r="E141" s="3"/>
      <c r="F141" s="3"/>
      <c r="G141" s="3"/>
      <c r="H141" s="3"/>
      <c r="I141" s="3"/>
      <c r="J141" s="3"/>
      <c r="K141" s="3"/>
      <c r="L141" s="3"/>
      <c r="M141" s="3"/>
      <c r="N141" s="3"/>
      <c r="O141" s="3"/>
      <c r="P141" s="3"/>
      <c r="Q141" s="3"/>
      <c r="R141" s="3"/>
      <c r="S141" s="9"/>
    </row>
    <row r="142" spans="1:19">
      <c r="A142" s="4">
        <f>PPK.HPS!I45</f>
        <v>69862000</v>
      </c>
      <c r="B142" s="1">
        <f>ROUNDDOWN(A142,-11)</f>
        <v>0</v>
      </c>
      <c r="C142" s="1" t="str">
        <f t="shared" ref="C142:C154" si="48">LEFT(B142)</f>
        <v>0</v>
      </c>
      <c r="D142" s="1">
        <f t="shared" ref="D142:D155" si="49">VALUE(C142)</f>
        <v>0</v>
      </c>
      <c r="G142" s="1" t="str">
        <f>IF(D142=0,"",(VLOOKUP(D142,$P$2:$Q$11,2)))</f>
        <v/>
      </c>
      <c r="H142" s="1" t="str">
        <f>IF(D142=1,"Se",G142)</f>
        <v/>
      </c>
      <c r="I142" s="1" t="str">
        <f>IF(F142=0,H142,F142)</f>
        <v/>
      </c>
      <c r="J142" s="1" t="str">
        <f>IF(D142=1,"ratus ",IF(D142=0,"","Ratus "))</f>
        <v/>
      </c>
      <c r="K142" s="1" t="str">
        <f t="shared" ref="K142:K155" si="50">IF(E142=0,J142,"")</f>
        <v/>
      </c>
      <c r="P142" s="1">
        <v>0</v>
      </c>
      <c r="R142" s="1">
        <f>P151+1</f>
        <v>10</v>
      </c>
      <c r="S142" s="13" t="s">
        <v>1300</v>
      </c>
    </row>
    <row r="143" spans="1:19">
      <c r="A143" s="5" t="s">
        <v>1345</v>
      </c>
      <c r="B143" s="1">
        <f>ROUNDDOWN(A142-B142,-10)</f>
        <v>0</v>
      </c>
      <c r="C143" s="1" t="str">
        <f t="shared" si="48"/>
        <v>0</v>
      </c>
      <c r="D143" s="1">
        <f t="shared" si="49"/>
        <v>0</v>
      </c>
      <c r="E143" s="1">
        <f>IF(D143=1,D143*10+D144,0)</f>
        <v>0</v>
      </c>
      <c r="F143" s="1">
        <f>IF(E143=0,0,VLOOKUP(E143,$R$2:$S$11,2))</f>
        <v>0</v>
      </c>
      <c r="G143" s="1" t="str">
        <f>IF(D143=0,"",(VLOOKUP(D143,$P$2:$Q$11,2)))</f>
        <v/>
      </c>
      <c r="H143" s="1" t="str">
        <f>IF(D143=1,"Se",G143)</f>
        <v/>
      </c>
      <c r="I143" s="1" t="str">
        <f>IF(F143=0,H143,F143)</f>
        <v/>
      </c>
      <c r="J143" s="1" t="str">
        <f>IF(D143=0,"","Puluh ")</f>
        <v/>
      </c>
      <c r="K143" s="1" t="str">
        <f t="shared" si="50"/>
        <v/>
      </c>
      <c r="L143" s="1" t="str">
        <f>IF(F143=0,"","Milyar ")</f>
        <v/>
      </c>
      <c r="P143" s="1">
        <v>1</v>
      </c>
      <c r="Q143" s="1" t="s">
        <v>1303</v>
      </c>
      <c r="R143" s="1">
        <f t="shared" ref="R143:R151" si="51">R142+1</f>
        <v>11</v>
      </c>
      <c r="S143" s="13" t="s">
        <v>1304</v>
      </c>
    </row>
    <row r="144" spans="1:19">
      <c r="A144" s="5"/>
      <c r="B144" s="1">
        <f>ROUNDDOWN(A142-B143-B142,-9)</f>
        <v>0</v>
      </c>
      <c r="C144" s="1" t="str">
        <f t="shared" si="48"/>
        <v>0</v>
      </c>
      <c r="D144" s="1">
        <f t="shared" si="49"/>
        <v>0</v>
      </c>
      <c r="G144" s="1" t="str">
        <f>IF(D144=0,"",(VLOOKUP(D144,$P$2:$Q$11,2)))</f>
        <v/>
      </c>
      <c r="H144" s="1" t="str">
        <f>IF(D144=1,"Satu ",G144)</f>
        <v/>
      </c>
      <c r="I144" s="1" t="str">
        <f>IF(E143=0,IF(F144=0,H144,F144),"")</f>
        <v/>
      </c>
      <c r="J144" s="1" t="str">
        <f>IF(D142+D143+D144=0,"","Milyar ")</f>
        <v/>
      </c>
      <c r="K144" s="1" t="str">
        <f t="shared" si="50"/>
        <v/>
      </c>
      <c r="P144" s="1">
        <f t="shared" ref="P144:P151" si="52">P143+1</f>
        <v>2</v>
      </c>
      <c r="Q144" s="1" t="s">
        <v>1305</v>
      </c>
      <c r="R144" s="1">
        <f t="shared" si="51"/>
        <v>12</v>
      </c>
      <c r="S144" s="13" t="s">
        <v>1306</v>
      </c>
    </row>
    <row r="145" spans="1:19">
      <c r="A145" s="5"/>
      <c r="B145" s="1">
        <f>ROUNDDOWN(A142-B144-B143-B142,-8)</f>
        <v>0</v>
      </c>
      <c r="C145" s="1" t="str">
        <f t="shared" si="48"/>
        <v>0</v>
      </c>
      <c r="D145" s="1">
        <f t="shared" si="49"/>
        <v>0</v>
      </c>
      <c r="G145" s="1" t="str">
        <f>IF(D145=0,"",(VLOOKUP(D145,$P$2:$Q$11,2)))</f>
        <v/>
      </c>
      <c r="H145" s="1" t="str">
        <f>IF(D145=1,"Se",G145)</f>
        <v/>
      </c>
      <c r="I145" s="1" t="str">
        <f>IF(F145=0,H145,F145)</f>
        <v/>
      </c>
      <c r="J145" s="1" t="str">
        <f>IF(D145=1,"ratus ",IF(D145=0,"","Ratus "))</f>
        <v/>
      </c>
      <c r="K145" s="1" t="str">
        <f t="shared" si="50"/>
        <v/>
      </c>
      <c r="P145" s="1">
        <f t="shared" si="52"/>
        <v>3</v>
      </c>
      <c r="Q145" s="1" t="s">
        <v>1307</v>
      </c>
      <c r="R145" s="1">
        <f t="shared" si="51"/>
        <v>13</v>
      </c>
      <c r="S145" s="13" t="s">
        <v>1308</v>
      </c>
    </row>
    <row r="146" spans="1:19">
      <c r="A146" s="5"/>
      <c r="B146" s="1">
        <f>ROUNDDOWN(A142-B145-B144-B143-B142,-7)</f>
        <v>60000000</v>
      </c>
      <c r="C146" s="1" t="str">
        <f t="shared" si="48"/>
        <v>6</v>
      </c>
      <c r="D146" s="1">
        <f t="shared" si="49"/>
        <v>6</v>
      </c>
      <c r="E146" s="1">
        <f>IF(D146=1,D146*10+D147,0)</f>
        <v>0</v>
      </c>
      <c r="F146" s="1">
        <f>IF(E146=0,0,VLOOKUP(E146,$R$2:$S$11,2))</f>
        <v>0</v>
      </c>
      <c r="G146" s="1" t="str">
        <f t="shared" ref="G146:G155" si="53">IF(D146=0,"",(VLOOKUP(D146,$P$2:$Q$11,2)))</f>
        <v xml:space="preserve">Enam </v>
      </c>
      <c r="H146" s="1" t="str">
        <f>IF(D146=1,"Se",G146)</f>
        <v xml:space="preserve">Enam </v>
      </c>
      <c r="I146" s="1" t="str">
        <f>IF(F146=0,H146,F146)</f>
        <v xml:space="preserve">Enam </v>
      </c>
      <c r="J146" s="1" t="str">
        <f>IF(D146=0,"","Puluh ")</f>
        <v xml:space="preserve">Puluh </v>
      </c>
      <c r="K146" s="1" t="str">
        <f t="shared" si="50"/>
        <v xml:space="preserve">Puluh </v>
      </c>
      <c r="P146" s="1">
        <f t="shared" si="52"/>
        <v>4</v>
      </c>
      <c r="Q146" s="1" t="s">
        <v>1309</v>
      </c>
      <c r="R146" s="1">
        <f t="shared" si="51"/>
        <v>14</v>
      </c>
      <c r="S146" s="13" t="s">
        <v>1310</v>
      </c>
    </row>
    <row r="147" spans="1:19">
      <c r="A147" s="5"/>
      <c r="B147" s="1">
        <f>ROUNDDOWN(A142-B146-B145-B144-B143-B142,-6)</f>
        <v>9000000</v>
      </c>
      <c r="C147" s="1" t="str">
        <f t="shared" si="48"/>
        <v>9</v>
      </c>
      <c r="D147" s="1">
        <f t="shared" si="49"/>
        <v>9</v>
      </c>
      <c r="G147" s="1" t="str">
        <f t="shared" si="53"/>
        <v xml:space="preserve">Sembilan </v>
      </c>
      <c r="H147" s="1" t="str">
        <f>IF(D147=1,"Satu ",G147)</f>
        <v xml:space="preserve">Sembilan </v>
      </c>
      <c r="I147" s="1" t="str">
        <f>IF(E146=0,IF(F147=0,H147,F147),"")</f>
        <v xml:space="preserve">Sembilan </v>
      </c>
      <c r="J147" s="1" t="str">
        <f>IF(D147+D146+D145=0,"","Juta ")</f>
        <v xml:space="preserve">Juta </v>
      </c>
      <c r="K147" s="1" t="str">
        <f t="shared" si="50"/>
        <v xml:space="preserve">Juta </v>
      </c>
      <c r="P147" s="1">
        <f t="shared" si="52"/>
        <v>5</v>
      </c>
      <c r="Q147" s="1" t="s">
        <v>1311</v>
      </c>
      <c r="R147" s="1">
        <f t="shared" si="51"/>
        <v>15</v>
      </c>
      <c r="S147" s="13" t="s">
        <v>1312</v>
      </c>
    </row>
    <row r="148" spans="1:19">
      <c r="A148" s="5"/>
      <c r="B148" s="1">
        <f>ROUNDDOWN(A142-B147-B146-B145-B144-B143-B142,-5)</f>
        <v>800000</v>
      </c>
      <c r="C148" s="1" t="str">
        <f t="shared" si="48"/>
        <v>8</v>
      </c>
      <c r="D148" s="1">
        <f t="shared" si="49"/>
        <v>8</v>
      </c>
      <c r="G148" s="1" t="str">
        <f t="shared" si="53"/>
        <v xml:space="preserve">Delapan </v>
      </c>
      <c r="H148" s="1" t="str">
        <f>IF(D148=1,"Se",G148)</f>
        <v xml:space="preserve">Delapan </v>
      </c>
      <c r="I148" s="1" t="str">
        <f>IF(F148=0,H148,F148)</f>
        <v xml:space="preserve">Delapan </v>
      </c>
      <c r="J148" s="1" t="str">
        <f>IF(D148=1,"ratus ",IF(D148=0,"","Ratus "))</f>
        <v xml:space="preserve">Ratus </v>
      </c>
      <c r="K148" s="1" t="str">
        <f t="shared" si="50"/>
        <v xml:space="preserve">Ratus </v>
      </c>
      <c r="P148" s="1">
        <f t="shared" si="52"/>
        <v>6</v>
      </c>
      <c r="Q148" s="1" t="s">
        <v>1313</v>
      </c>
      <c r="R148" s="1">
        <f t="shared" si="51"/>
        <v>16</v>
      </c>
      <c r="S148" s="13" t="s">
        <v>1314</v>
      </c>
    </row>
    <row r="149" spans="1:19">
      <c r="A149" s="5"/>
      <c r="B149" s="1">
        <f>ROUNDDOWN(A142-B148-B147-B146-B145-B144-B143-B142,-4)</f>
        <v>60000</v>
      </c>
      <c r="C149" s="1" t="str">
        <f t="shared" si="48"/>
        <v>6</v>
      </c>
      <c r="D149" s="1">
        <f t="shared" si="49"/>
        <v>6</v>
      </c>
      <c r="E149" s="1">
        <f>IF(D149=1,D149*10+D150,0)</f>
        <v>0</v>
      </c>
      <c r="F149" s="1">
        <f>IF(E149=0,0,VLOOKUP(E149,$R$2:$S$11,2))</f>
        <v>0</v>
      </c>
      <c r="G149" s="1" t="str">
        <f t="shared" si="53"/>
        <v xml:space="preserve">Enam </v>
      </c>
      <c r="H149" s="1" t="str">
        <f>IF(D149=1,"Se",G149)</f>
        <v xml:space="preserve">Enam </v>
      </c>
      <c r="I149" s="1" t="str">
        <f>IF(F149=0,H149,F149)</f>
        <v xml:space="preserve">Enam </v>
      </c>
      <c r="J149" s="1" t="str">
        <f>IF(D149=0,"","Puluh ")</f>
        <v xml:space="preserve">Puluh </v>
      </c>
      <c r="K149" s="1" t="str">
        <f t="shared" si="50"/>
        <v xml:space="preserve">Puluh </v>
      </c>
      <c r="P149" s="1">
        <f t="shared" si="52"/>
        <v>7</v>
      </c>
      <c r="Q149" s="1" t="s">
        <v>1315</v>
      </c>
      <c r="R149" s="1">
        <f t="shared" si="51"/>
        <v>17</v>
      </c>
      <c r="S149" s="13" t="s">
        <v>1316</v>
      </c>
    </row>
    <row r="150" spans="1:19">
      <c r="A150" s="5"/>
      <c r="B150" s="1">
        <f>ROUNDDOWN(A142-B149-B148-B147-B146-B145-B144-B143-B142,-3)</f>
        <v>2000</v>
      </c>
      <c r="C150" s="1" t="str">
        <f t="shared" si="48"/>
        <v>2</v>
      </c>
      <c r="D150" s="1">
        <f t="shared" si="49"/>
        <v>2</v>
      </c>
      <c r="G150" s="1" t="str">
        <f t="shared" si="53"/>
        <v xml:space="preserve">Dua </v>
      </c>
      <c r="H150" s="1" t="str">
        <f>IF(AND(D150=1,D149+D148=0),"Se",IF(D150=1,"Satu ",G150))</f>
        <v xml:space="preserve">Dua </v>
      </c>
      <c r="I150" s="1" t="str">
        <f>IF(E149=0,IF(F150=0,H150,F150),"")</f>
        <v xml:space="preserve">Dua </v>
      </c>
      <c r="J150" s="1" t="str">
        <f>IF(AND(D150=1,D149+D148=0),"ribu ",IF(D150+D149+D148=0,"","Ribu "))</f>
        <v xml:space="preserve">Ribu </v>
      </c>
      <c r="K150" s="1" t="str">
        <f t="shared" si="50"/>
        <v xml:space="preserve">Ribu </v>
      </c>
      <c r="P150" s="1">
        <f t="shared" si="52"/>
        <v>8</v>
      </c>
      <c r="Q150" s="1" t="s">
        <v>1317</v>
      </c>
      <c r="R150" s="1">
        <f t="shared" si="51"/>
        <v>18</v>
      </c>
      <c r="S150" s="13" t="s">
        <v>1318</v>
      </c>
    </row>
    <row r="151" spans="1:19">
      <c r="A151" s="5"/>
      <c r="B151" s="1">
        <f>ROUNDDOWN(A142-B150-B149-B148-B147-B146-B145-B144-B143-B142,-2)</f>
        <v>0</v>
      </c>
      <c r="C151" s="1" t="str">
        <f t="shared" si="48"/>
        <v>0</v>
      </c>
      <c r="D151" s="1">
        <f t="shared" si="49"/>
        <v>0</v>
      </c>
      <c r="G151" s="1" t="str">
        <f t="shared" si="53"/>
        <v/>
      </c>
      <c r="H151" s="1" t="str">
        <f>IF(D151=1,"Se",G151)</f>
        <v/>
      </c>
      <c r="I151" s="1" t="str">
        <f>IF(F151=0,H151,F151)</f>
        <v/>
      </c>
      <c r="J151" s="1" t="str">
        <f>IF(D151=1,"ratus ",IF(D151=0,"","Ratus "))</f>
        <v/>
      </c>
      <c r="K151" s="1" t="str">
        <f t="shared" si="50"/>
        <v/>
      </c>
      <c r="P151" s="1">
        <f t="shared" si="52"/>
        <v>9</v>
      </c>
      <c r="Q151" s="1" t="s">
        <v>1319</v>
      </c>
      <c r="R151" s="1">
        <f t="shared" si="51"/>
        <v>19</v>
      </c>
      <c r="S151" s="13" t="s">
        <v>1320</v>
      </c>
    </row>
    <row r="152" spans="1:19">
      <c r="A152" s="5"/>
      <c r="B152" s="1">
        <f>ROUNDDOWN(A142-B151-B150-B149-B148-B147-B146-B145-B144-B143-B142,-1)</f>
        <v>0</v>
      </c>
      <c r="C152" s="1" t="str">
        <f t="shared" si="48"/>
        <v>0</v>
      </c>
      <c r="D152" s="1">
        <f t="shared" si="49"/>
        <v>0</v>
      </c>
      <c r="E152" s="1">
        <f>IF(D152=1,D152*10+D153,0)</f>
        <v>0</v>
      </c>
      <c r="F152" s="1">
        <f>IF(E152=0,0,VLOOKUP(E152,$R$2:$S$11,2))</f>
        <v>0</v>
      </c>
      <c r="G152" s="1" t="str">
        <f t="shared" si="53"/>
        <v/>
      </c>
      <c r="H152" s="1" t="str">
        <f>IF(D152=1,"Se",G152)</f>
        <v/>
      </c>
      <c r="I152" s="1" t="str">
        <f>IF(F152=0,H152,F152)</f>
        <v/>
      </c>
      <c r="J152" s="1" t="str">
        <f>IF(D152=0,"","Puluh ")</f>
        <v/>
      </c>
      <c r="K152" s="1" t="str">
        <f t="shared" si="50"/>
        <v/>
      </c>
      <c r="S152" s="13"/>
    </row>
    <row r="153" spans="1:19">
      <c r="A153" s="5"/>
      <c r="B153" s="1">
        <f>ROUNDDOWN(A142-B152-B151-B150-B149-B148-B147-B146-B145-B144-B143-B142,0)</f>
        <v>0</v>
      </c>
      <c r="C153" s="1" t="str">
        <f t="shared" si="48"/>
        <v>0</v>
      </c>
      <c r="D153" s="1">
        <f t="shared" si="49"/>
        <v>0</v>
      </c>
      <c r="G153" s="1" t="str">
        <f t="shared" si="53"/>
        <v/>
      </c>
      <c r="H153" s="1" t="str">
        <f>IF(D153=1,"Satu ",G153)</f>
        <v/>
      </c>
      <c r="I153" s="1" t="str">
        <f>IF(E152=0,IF(F153=0,H153,F153),"")</f>
        <v/>
      </c>
      <c r="J153" s="1" t="str">
        <f>IF(D154+D155=0,"","Koma ")</f>
        <v/>
      </c>
      <c r="K153" s="1" t="str">
        <f t="shared" si="50"/>
        <v/>
      </c>
      <c r="S153" s="13"/>
    </row>
    <row r="154" spans="1:19">
      <c r="A154" s="5"/>
      <c r="B154" s="1">
        <f>ROUNDDOWN(A142-B153-B152-B151-B150-B149-B148-B147-B146-B145-B144-B143-B142,1)*10</f>
        <v>0</v>
      </c>
      <c r="C154" s="1" t="str">
        <f t="shared" si="48"/>
        <v>0</v>
      </c>
      <c r="D154" s="1">
        <f t="shared" si="49"/>
        <v>0</v>
      </c>
      <c r="E154" s="1">
        <f>IF(D154=1,D154*10+D155,0)</f>
        <v>0</v>
      </c>
      <c r="F154" s="1">
        <f>IF(E154=0,0,VLOOKUP(E154,$R$2:$S$11,2))</f>
        <v>0</v>
      </c>
      <c r="G154" s="1" t="str">
        <f t="shared" si="53"/>
        <v/>
      </c>
      <c r="H154" s="1" t="str">
        <f>IF(D154=1,"se",G154)</f>
        <v/>
      </c>
      <c r="I154" s="1" t="str">
        <f>IF(F154=0,H154,F154)</f>
        <v/>
      </c>
      <c r="J154" s="1" t="str">
        <f>IF(D154=0,"","Puluh ")</f>
        <v/>
      </c>
      <c r="K154" s="1" t="str">
        <f t="shared" si="50"/>
        <v/>
      </c>
      <c r="S154" s="13"/>
    </row>
    <row r="155" spans="1:19">
      <c r="A155" s="5"/>
      <c r="B155" s="1">
        <f>ROUND(A142-B154/10-B153-B152-B151-B150-B149-B148-B147-B146-B145-B144-B143-B142,2)</f>
        <v>0</v>
      </c>
      <c r="C155" s="1" t="str">
        <f>RIGHT(B155)</f>
        <v>0</v>
      </c>
      <c r="D155" s="1">
        <f t="shared" si="49"/>
        <v>0</v>
      </c>
      <c r="G155" s="1" t="str">
        <f t="shared" si="53"/>
        <v/>
      </c>
      <c r="H155" s="1" t="str">
        <f>IF(D155=1,"Satu ",G155)</f>
        <v/>
      </c>
      <c r="I155" s="1" t="str">
        <f>IF(E154+E155=0,IF(F155=0,H155,F155),"")</f>
        <v/>
      </c>
      <c r="J155" s="1" t="str">
        <f>IF(D154+D155=0,"Rupiah","Perseratus Rupiah")</f>
        <v>Rupiah</v>
      </c>
      <c r="K155" s="1" t="str">
        <f t="shared" si="50"/>
        <v>Rupiah</v>
      </c>
      <c r="S155" s="13"/>
    </row>
    <row r="156" spans="1:19">
      <c r="A156" s="5"/>
      <c r="S156" s="13"/>
    </row>
    <row r="157" spans="1:19">
      <c r="A157" s="5"/>
      <c r="D157" s="6"/>
      <c r="S157" s="13"/>
    </row>
    <row r="158" spans="1:19">
      <c r="A158" s="5"/>
      <c r="S158" s="13"/>
    </row>
    <row r="159" spans="1:19">
      <c r="A159" s="5"/>
      <c r="S159" s="13"/>
    </row>
    <row r="160" spans="1:19" ht="13.15" thickBot="1">
      <c r="A160" s="7"/>
      <c r="B160" s="8"/>
      <c r="C160" s="8"/>
      <c r="D160" s="8"/>
      <c r="E160" s="8"/>
      <c r="F160" s="8"/>
      <c r="G160" s="8"/>
      <c r="H160" s="8"/>
      <c r="I160" s="8"/>
      <c r="J160" s="8"/>
      <c r="K160" s="8"/>
      <c r="L160" s="8"/>
      <c r="M160" s="8"/>
      <c r="N160" s="8"/>
      <c r="O160" s="8"/>
      <c r="P160" s="8"/>
      <c r="Q160" s="8"/>
      <c r="R160" s="8"/>
      <c r="S160" s="17"/>
    </row>
    <row r="161" spans="1:19">
      <c r="A161" s="2" t="str">
        <f>I162&amp;K162&amp;I163&amp;K163&amp;I164&amp;K164&amp;I165&amp;K165&amp;I166&amp;K166&amp;I167&amp;K167&amp;I168&amp;K168&amp;I169&amp;K169&amp;I170&amp;K170&amp;I171&amp;K171&amp;I172&amp;K172&amp;I173&amp;K173&amp;I174&amp;K174&amp;I175&amp;K175</f>
        <v>Enam Puluh Sembilan Juta Delapan Ratus Enam Puluh Dua Ribu Rupiah</v>
      </c>
      <c r="B161" s="3"/>
      <c r="C161" s="3"/>
      <c r="D161" s="3"/>
      <c r="E161" s="3"/>
      <c r="F161" s="3"/>
      <c r="G161" s="3"/>
      <c r="H161" s="3"/>
      <c r="I161" s="3"/>
      <c r="J161" s="3"/>
      <c r="K161" s="3"/>
      <c r="L161" s="3"/>
      <c r="M161" s="3"/>
      <c r="N161" s="3"/>
      <c r="O161" s="3"/>
      <c r="P161" s="3"/>
      <c r="Q161" s="3"/>
      <c r="R161" s="3"/>
      <c r="S161" s="9"/>
    </row>
    <row r="162" spans="1:19">
      <c r="A162" s="4">
        <f>ResKon!J43</f>
        <v>69862000</v>
      </c>
      <c r="B162" s="1">
        <f>ROUNDDOWN(A162,-11)</f>
        <v>0</v>
      </c>
      <c r="C162" s="1" t="str">
        <f t="shared" ref="C162:C174" si="54">LEFT(B162)</f>
        <v>0</v>
      </c>
      <c r="D162" s="1">
        <f t="shared" ref="D162:D175" si="55">VALUE(C162)</f>
        <v>0</v>
      </c>
      <c r="G162" s="1" t="str">
        <f>IF(D162=0,"",(VLOOKUP(D162,$P$2:$Q$11,2)))</f>
        <v/>
      </c>
      <c r="H162" s="1" t="str">
        <f>IF(D162=1,"Se",G162)</f>
        <v/>
      </c>
      <c r="I162" s="1" t="str">
        <f>IF(F162=0,H162,F162)</f>
        <v/>
      </c>
      <c r="J162" s="1" t="str">
        <f>IF(D162=1,"ratus ",IF(D162=0,"","Ratus "))</f>
        <v/>
      </c>
      <c r="K162" s="1" t="str">
        <f t="shared" ref="K162:K175" si="56">IF(E162=0,J162,"")</f>
        <v/>
      </c>
      <c r="P162" s="1">
        <v>0</v>
      </c>
      <c r="R162" s="1">
        <f>P171+1</f>
        <v>10</v>
      </c>
      <c r="S162" s="13" t="s">
        <v>1300</v>
      </c>
    </row>
    <row r="163" spans="1:19">
      <c r="A163" s="831" t="s">
        <v>1348</v>
      </c>
      <c r="B163" s="1">
        <f>ROUNDDOWN(A162-B162,-10)</f>
        <v>0</v>
      </c>
      <c r="C163" s="1" t="str">
        <f t="shared" si="54"/>
        <v>0</v>
      </c>
      <c r="D163" s="1">
        <f t="shared" si="55"/>
        <v>0</v>
      </c>
      <c r="E163" s="1">
        <f>IF(D163=1,D163*10+D164,0)</f>
        <v>0</v>
      </c>
      <c r="F163" s="1">
        <f>IF(E163=0,0,VLOOKUP(E163,$R$2:$S$11,2))</f>
        <v>0</v>
      </c>
      <c r="G163" s="1" t="str">
        <f>IF(D163=0,"",(VLOOKUP(D163,$P$2:$Q$11,2)))</f>
        <v/>
      </c>
      <c r="H163" s="1" t="str">
        <f>IF(D163=1,"Se",G163)</f>
        <v/>
      </c>
      <c r="I163" s="1" t="str">
        <f>IF(F163=0,H163,F163)</f>
        <v/>
      </c>
      <c r="J163" s="1" t="str">
        <f>IF(D163=0,"","Puluh ")</f>
        <v/>
      </c>
      <c r="K163" s="1" t="str">
        <f t="shared" si="56"/>
        <v/>
      </c>
      <c r="L163" s="1" t="str">
        <f>IF(F163=0,"","Milyar ")</f>
        <v/>
      </c>
      <c r="P163" s="1">
        <v>1</v>
      </c>
      <c r="Q163" s="1" t="s">
        <v>1303</v>
      </c>
      <c r="R163" s="1">
        <f t="shared" ref="R163:R171" si="57">R162+1</f>
        <v>11</v>
      </c>
      <c r="S163" s="13" t="s">
        <v>1304</v>
      </c>
    </row>
    <row r="164" spans="1:19">
      <c r="A164" s="5"/>
      <c r="B164" s="1">
        <f>ROUNDDOWN(A162-B163-B162,-9)</f>
        <v>0</v>
      </c>
      <c r="C164" s="1" t="str">
        <f t="shared" si="54"/>
        <v>0</v>
      </c>
      <c r="D164" s="1">
        <f t="shared" si="55"/>
        <v>0</v>
      </c>
      <c r="G164" s="1" t="str">
        <f>IF(D164=0,"",(VLOOKUP(D164,$P$2:$Q$11,2)))</f>
        <v/>
      </c>
      <c r="H164" s="1" t="str">
        <f>IF(D164=1,"Satu ",G164)</f>
        <v/>
      </c>
      <c r="I164" s="1" t="str">
        <f>IF(E163=0,IF(F164=0,H164,F164),"")</f>
        <v/>
      </c>
      <c r="J164" s="1" t="str">
        <f>IF(D162+D163+D164=0,"","Milyar ")</f>
        <v/>
      </c>
      <c r="K164" s="1" t="str">
        <f t="shared" si="56"/>
        <v/>
      </c>
      <c r="P164" s="1">
        <f t="shared" ref="P164:P171" si="58">P163+1</f>
        <v>2</v>
      </c>
      <c r="Q164" s="1" t="s">
        <v>1305</v>
      </c>
      <c r="R164" s="1">
        <f t="shared" si="57"/>
        <v>12</v>
      </c>
      <c r="S164" s="13" t="s">
        <v>1306</v>
      </c>
    </row>
    <row r="165" spans="1:19">
      <c r="A165" s="5"/>
      <c r="B165" s="1">
        <f>ROUNDDOWN(A162-B164-B163-B162,-8)</f>
        <v>0</v>
      </c>
      <c r="C165" s="1" t="str">
        <f t="shared" si="54"/>
        <v>0</v>
      </c>
      <c r="D165" s="1">
        <f t="shared" si="55"/>
        <v>0</v>
      </c>
      <c r="G165" s="1" t="str">
        <f>IF(D165=0,"",(VLOOKUP(D165,$P$2:$Q$11,2)))</f>
        <v/>
      </c>
      <c r="H165" s="1" t="str">
        <f>IF(D165=1,"Se",G165)</f>
        <v/>
      </c>
      <c r="I165" s="1" t="str">
        <f>IF(F165=0,H165,F165)</f>
        <v/>
      </c>
      <c r="J165" s="1" t="str">
        <f>IF(D165=1,"ratus ",IF(D165=0,"","Ratus "))</f>
        <v/>
      </c>
      <c r="K165" s="1" t="str">
        <f t="shared" si="56"/>
        <v/>
      </c>
      <c r="P165" s="1">
        <f t="shared" si="58"/>
        <v>3</v>
      </c>
      <c r="Q165" s="1" t="s">
        <v>1307</v>
      </c>
      <c r="R165" s="1">
        <f t="shared" si="57"/>
        <v>13</v>
      </c>
      <c r="S165" s="13" t="s">
        <v>1308</v>
      </c>
    </row>
    <row r="166" spans="1:19">
      <c r="A166" s="5"/>
      <c r="B166" s="1">
        <f>ROUNDDOWN(A162-B165-B164-B163-B162,-7)</f>
        <v>60000000</v>
      </c>
      <c r="C166" s="1" t="str">
        <f t="shared" si="54"/>
        <v>6</v>
      </c>
      <c r="D166" s="1">
        <f t="shared" si="55"/>
        <v>6</v>
      </c>
      <c r="E166" s="1">
        <f>IF(D166=1,D166*10+D167,0)</f>
        <v>0</v>
      </c>
      <c r="F166" s="1">
        <f>IF(E166=0,0,VLOOKUP(E166,$R$2:$S$11,2))</f>
        <v>0</v>
      </c>
      <c r="G166" s="1" t="str">
        <f t="shared" ref="G166:G175" si="59">IF(D166=0,"",(VLOOKUP(D166,$P$2:$Q$11,2)))</f>
        <v xml:space="preserve">Enam </v>
      </c>
      <c r="H166" s="1" t="str">
        <f>IF(D166=1,"Se",G166)</f>
        <v xml:space="preserve">Enam </v>
      </c>
      <c r="I166" s="1" t="str">
        <f>IF(F166=0,H166,F166)</f>
        <v xml:space="preserve">Enam </v>
      </c>
      <c r="J166" s="1" t="str">
        <f>IF(D166=0,"","Puluh ")</f>
        <v xml:space="preserve">Puluh </v>
      </c>
      <c r="K166" s="1" t="str">
        <f t="shared" si="56"/>
        <v xml:space="preserve">Puluh </v>
      </c>
      <c r="P166" s="1">
        <f t="shared" si="58"/>
        <v>4</v>
      </c>
      <c r="Q166" s="1" t="s">
        <v>1309</v>
      </c>
      <c r="R166" s="1">
        <f t="shared" si="57"/>
        <v>14</v>
      </c>
      <c r="S166" s="13" t="s">
        <v>1310</v>
      </c>
    </row>
    <row r="167" spans="1:19">
      <c r="A167" s="5"/>
      <c r="B167" s="1">
        <f>ROUNDDOWN(A162-B166-B165-B164-B163-B162,-6)</f>
        <v>9000000</v>
      </c>
      <c r="C167" s="1" t="str">
        <f t="shared" si="54"/>
        <v>9</v>
      </c>
      <c r="D167" s="1">
        <f t="shared" si="55"/>
        <v>9</v>
      </c>
      <c r="G167" s="1" t="str">
        <f t="shared" si="59"/>
        <v xml:space="preserve">Sembilan </v>
      </c>
      <c r="H167" s="1" t="str">
        <f>IF(D167=1,"Satu ",G167)</f>
        <v xml:space="preserve">Sembilan </v>
      </c>
      <c r="I167" s="1" t="str">
        <f>IF(E166=0,IF(F167=0,H167,F167),"")</f>
        <v xml:space="preserve">Sembilan </v>
      </c>
      <c r="J167" s="1" t="str">
        <f>IF(D167+D166+D165=0,"","Juta ")</f>
        <v xml:space="preserve">Juta </v>
      </c>
      <c r="K167" s="1" t="str">
        <f t="shared" si="56"/>
        <v xml:space="preserve">Juta </v>
      </c>
      <c r="P167" s="1">
        <f t="shared" si="58"/>
        <v>5</v>
      </c>
      <c r="Q167" s="1" t="s">
        <v>1311</v>
      </c>
      <c r="R167" s="1">
        <f t="shared" si="57"/>
        <v>15</v>
      </c>
      <c r="S167" s="13" t="s">
        <v>1312</v>
      </c>
    </row>
    <row r="168" spans="1:19">
      <c r="A168" s="5"/>
      <c r="B168" s="1">
        <f>ROUNDDOWN(A162-B167-B166-B165-B164-B163-B162,-5)</f>
        <v>800000</v>
      </c>
      <c r="C168" s="1" t="str">
        <f t="shared" si="54"/>
        <v>8</v>
      </c>
      <c r="D168" s="1">
        <f t="shared" si="55"/>
        <v>8</v>
      </c>
      <c r="G168" s="1" t="str">
        <f t="shared" si="59"/>
        <v xml:space="preserve">Delapan </v>
      </c>
      <c r="H168" s="1" t="str">
        <f>IF(D168=1,"Se",G168)</f>
        <v xml:space="preserve">Delapan </v>
      </c>
      <c r="I168" s="1" t="str">
        <f>IF(F168=0,H168,F168)</f>
        <v xml:space="preserve">Delapan </v>
      </c>
      <c r="J168" s="1" t="str">
        <f>IF(D168=1,"ratus ",IF(D168=0,"","Ratus "))</f>
        <v xml:space="preserve">Ratus </v>
      </c>
      <c r="K168" s="1" t="str">
        <f t="shared" si="56"/>
        <v xml:space="preserve">Ratus </v>
      </c>
      <c r="P168" s="1">
        <f t="shared" si="58"/>
        <v>6</v>
      </c>
      <c r="Q168" s="1" t="s">
        <v>1313</v>
      </c>
      <c r="R168" s="1">
        <f t="shared" si="57"/>
        <v>16</v>
      </c>
      <c r="S168" s="13" t="s">
        <v>1314</v>
      </c>
    </row>
    <row r="169" spans="1:19">
      <c r="A169" s="5"/>
      <c r="B169" s="1">
        <f>ROUNDDOWN(A162-B168-B167-B166-B165-B164-B163-B162,-4)</f>
        <v>60000</v>
      </c>
      <c r="C169" s="1" t="str">
        <f t="shared" si="54"/>
        <v>6</v>
      </c>
      <c r="D169" s="1">
        <f t="shared" si="55"/>
        <v>6</v>
      </c>
      <c r="E169" s="1">
        <f>IF(D169=1,D169*10+D170,0)</f>
        <v>0</v>
      </c>
      <c r="F169" s="1">
        <f>IF(E169=0,0,VLOOKUP(E169,$R$2:$S$11,2))</f>
        <v>0</v>
      </c>
      <c r="G169" s="1" t="str">
        <f t="shared" si="59"/>
        <v xml:space="preserve">Enam </v>
      </c>
      <c r="H169" s="1" t="str">
        <f>IF(D169=1,"Se",G169)</f>
        <v xml:space="preserve">Enam </v>
      </c>
      <c r="I169" s="1" t="str">
        <f>IF(F169=0,H169,F169)</f>
        <v xml:space="preserve">Enam </v>
      </c>
      <c r="J169" s="1" t="str">
        <f>IF(D169=0,"","Puluh ")</f>
        <v xml:space="preserve">Puluh </v>
      </c>
      <c r="K169" s="1" t="str">
        <f t="shared" si="56"/>
        <v xml:space="preserve">Puluh </v>
      </c>
      <c r="P169" s="1">
        <f t="shared" si="58"/>
        <v>7</v>
      </c>
      <c r="Q169" s="1" t="s">
        <v>1315</v>
      </c>
      <c r="R169" s="1">
        <f t="shared" si="57"/>
        <v>17</v>
      </c>
      <c r="S169" s="13" t="s">
        <v>1316</v>
      </c>
    </row>
    <row r="170" spans="1:19">
      <c r="A170" s="5"/>
      <c r="B170" s="1">
        <f>ROUNDDOWN(A162-B169-B168-B167-B166-B165-B164-B163-B162,-3)</f>
        <v>2000</v>
      </c>
      <c r="C170" s="1" t="str">
        <f t="shared" si="54"/>
        <v>2</v>
      </c>
      <c r="D170" s="1">
        <f t="shared" si="55"/>
        <v>2</v>
      </c>
      <c r="G170" s="1" t="str">
        <f t="shared" si="59"/>
        <v xml:space="preserve">Dua </v>
      </c>
      <c r="H170" s="1" t="str">
        <f>IF(AND(D170=1,D169+D168=0),"Se",IF(D170=1,"Satu ",G170))</f>
        <v xml:space="preserve">Dua </v>
      </c>
      <c r="I170" s="1" t="str">
        <f>IF(E169=0,IF(F170=0,H170,F170),"")</f>
        <v xml:space="preserve">Dua </v>
      </c>
      <c r="J170" s="1" t="str">
        <f>IF(AND(D170=1,D169+D168=0),"ribu ",IF(D170+D169+D168=0,"","Ribu "))</f>
        <v xml:space="preserve">Ribu </v>
      </c>
      <c r="K170" s="1" t="str">
        <f t="shared" si="56"/>
        <v xml:space="preserve">Ribu </v>
      </c>
      <c r="P170" s="1">
        <f t="shared" si="58"/>
        <v>8</v>
      </c>
      <c r="Q170" s="1" t="s">
        <v>1317</v>
      </c>
      <c r="R170" s="1">
        <f t="shared" si="57"/>
        <v>18</v>
      </c>
      <c r="S170" s="13" t="s">
        <v>1318</v>
      </c>
    </row>
    <row r="171" spans="1:19">
      <c r="A171" s="5"/>
      <c r="B171" s="1">
        <f>ROUNDDOWN(A162-B170-B169-B168-B167-B166-B165-B164-B163-B162,-2)</f>
        <v>0</v>
      </c>
      <c r="C171" s="1" t="str">
        <f t="shared" si="54"/>
        <v>0</v>
      </c>
      <c r="D171" s="1">
        <f t="shared" si="55"/>
        <v>0</v>
      </c>
      <c r="G171" s="1" t="str">
        <f t="shared" si="59"/>
        <v/>
      </c>
      <c r="H171" s="1" t="str">
        <f>IF(D171=1,"Se",G171)</f>
        <v/>
      </c>
      <c r="I171" s="1" t="str">
        <f>IF(F171=0,H171,F171)</f>
        <v/>
      </c>
      <c r="J171" s="1" t="str">
        <f>IF(D171=1,"ratus ",IF(D171=0,"","Ratus "))</f>
        <v/>
      </c>
      <c r="K171" s="1" t="str">
        <f t="shared" si="56"/>
        <v/>
      </c>
      <c r="P171" s="1">
        <f t="shared" si="58"/>
        <v>9</v>
      </c>
      <c r="Q171" s="1" t="s">
        <v>1319</v>
      </c>
      <c r="R171" s="1">
        <f t="shared" si="57"/>
        <v>19</v>
      </c>
      <c r="S171" s="13" t="s">
        <v>1320</v>
      </c>
    </row>
    <row r="172" spans="1:19">
      <c r="A172" s="5"/>
      <c r="B172" s="1">
        <f>ROUNDDOWN(A162-B171-B170-B169-B168-B167-B166-B165-B164-B163-B162,-1)</f>
        <v>0</v>
      </c>
      <c r="C172" s="1" t="str">
        <f t="shared" si="54"/>
        <v>0</v>
      </c>
      <c r="D172" s="1">
        <f t="shared" si="55"/>
        <v>0</v>
      </c>
      <c r="E172" s="1">
        <f>IF(D172=1,D172*10+D173,0)</f>
        <v>0</v>
      </c>
      <c r="F172" s="1">
        <f>IF(E172=0,0,VLOOKUP(E172,$R$2:$S$11,2))</f>
        <v>0</v>
      </c>
      <c r="G172" s="1" t="str">
        <f t="shared" si="59"/>
        <v/>
      </c>
      <c r="H172" s="1" t="str">
        <f>IF(D172=1,"Se",G172)</f>
        <v/>
      </c>
      <c r="I172" s="1" t="str">
        <f>IF(F172=0,H172,F172)</f>
        <v/>
      </c>
      <c r="J172" s="1" t="str">
        <f>IF(D172=0,"","Puluh ")</f>
        <v/>
      </c>
      <c r="K172" s="1" t="str">
        <f t="shared" si="56"/>
        <v/>
      </c>
      <c r="S172" s="13"/>
    </row>
    <row r="173" spans="1:19">
      <c r="A173" s="5"/>
      <c r="B173" s="1">
        <f>ROUNDDOWN(A162-B172-B171-B170-B169-B168-B167-B166-B165-B164-B163-B162,0)</f>
        <v>0</v>
      </c>
      <c r="C173" s="1" t="str">
        <f t="shared" si="54"/>
        <v>0</v>
      </c>
      <c r="D173" s="1">
        <f t="shared" si="55"/>
        <v>0</v>
      </c>
      <c r="G173" s="1" t="str">
        <f t="shared" si="59"/>
        <v/>
      </c>
      <c r="H173" s="1" t="str">
        <f>IF(D173=1,"Satu ",G173)</f>
        <v/>
      </c>
      <c r="I173" s="1" t="str">
        <f>IF(E172=0,IF(F173=0,H173,F173),"")</f>
        <v/>
      </c>
      <c r="J173" s="1" t="str">
        <f>IF(D174+D175=0,"","Koma ")</f>
        <v/>
      </c>
      <c r="K173" s="1" t="str">
        <f t="shared" si="56"/>
        <v/>
      </c>
      <c r="S173" s="13"/>
    </row>
    <row r="174" spans="1:19">
      <c r="A174" s="5"/>
      <c r="B174" s="1">
        <f>ROUNDDOWN(A162-B173-B172-B171-B170-B169-B168-B167-B166-B165-B164-B163-B162,1)*10</f>
        <v>0</v>
      </c>
      <c r="C174" s="1" t="str">
        <f t="shared" si="54"/>
        <v>0</v>
      </c>
      <c r="D174" s="1">
        <f t="shared" si="55"/>
        <v>0</v>
      </c>
      <c r="E174" s="1">
        <f>IF(D174=1,D174*10+D175,0)</f>
        <v>0</v>
      </c>
      <c r="F174" s="1">
        <f>IF(E174=0,0,VLOOKUP(E174,$R$2:$S$11,2))</f>
        <v>0</v>
      </c>
      <c r="G174" s="1" t="str">
        <f t="shared" si="59"/>
        <v/>
      </c>
      <c r="H174" s="1" t="str">
        <f>IF(D174=1,"se",G174)</f>
        <v/>
      </c>
      <c r="I174" s="1" t="str">
        <f>IF(F174=0,H174,F174)</f>
        <v/>
      </c>
      <c r="J174" s="1" t="str">
        <f>IF(D174=0,"","Puluh ")</f>
        <v/>
      </c>
      <c r="K174" s="1" t="str">
        <f t="shared" si="56"/>
        <v/>
      </c>
      <c r="S174" s="13"/>
    </row>
    <row r="175" spans="1:19">
      <c r="A175" s="5"/>
      <c r="B175" s="1">
        <f>ROUND(A162-B174/10-B173-B172-B171-B170-B169-B168-B167-B166-B165-B164-B163-B162,2)</f>
        <v>0</v>
      </c>
      <c r="C175" s="1" t="str">
        <f>RIGHT(B175)</f>
        <v>0</v>
      </c>
      <c r="D175" s="1">
        <f t="shared" si="55"/>
        <v>0</v>
      </c>
      <c r="G175" s="1" t="str">
        <f t="shared" si="59"/>
        <v/>
      </c>
      <c r="H175" s="1" t="str">
        <f>IF(D175=1,"Satu ",G175)</f>
        <v/>
      </c>
      <c r="I175" s="1" t="str">
        <f>IF(E174+E175=0,IF(F175=0,H175,F175),"")</f>
        <v/>
      </c>
      <c r="J175" s="1" t="str">
        <f>IF(D174+D175=0,"Rupiah","Perseratus Rupiah")</f>
        <v>Rupiah</v>
      </c>
      <c r="K175" s="1" t="str">
        <f t="shared" si="56"/>
        <v>Rupiah</v>
      </c>
      <c r="S175" s="13"/>
    </row>
    <row r="176" spans="1:19">
      <c r="A176" s="5"/>
      <c r="S176" s="13"/>
    </row>
    <row r="177" spans="1:19">
      <c r="A177" s="5"/>
      <c r="S177" s="13"/>
    </row>
    <row r="178" spans="1:19">
      <c r="A178" s="5"/>
      <c r="S178" s="13"/>
    </row>
    <row r="179" spans="1:19">
      <c r="A179" s="5"/>
      <c r="S179" s="13"/>
    </row>
    <row r="180" spans="1:19" ht="13.15" thickBot="1">
      <c r="A180" s="7"/>
      <c r="B180" s="8"/>
      <c r="C180" s="8"/>
      <c r="D180" s="8"/>
      <c r="E180" s="8"/>
      <c r="F180" s="8"/>
      <c r="G180" s="8"/>
      <c r="H180" s="8"/>
      <c r="I180" s="8"/>
      <c r="J180" s="8"/>
      <c r="K180" s="8"/>
      <c r="L180" s="8"/>
      <c r="M180" s="8"/>
      <c r="N180" s="8"/>
      <c r="O180" s="8"/>
      <c r="P180" s="8"/>
      <c r="Q180" s="8"/>
      <c r="R180" s="8"/>
      <c r="S180" s="17"/>
    </row>
  </sheetData>
  <pageMargins left="0.7" right="0.7" top="0.75" bottom="0.75" header="0.3" footer="0.3"/>
  <pageSetup paperSize="9" orientation="portrait"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110</vt:i4>
      </vt:variant>
    </vt:vector>
  </HeadingPairs>
  <TitlesOfParts>
    <vt:vector size="135" baseType="lpstr">
      <vt:lpstr>Input</vt:lpstr>
      <vt:lpstr>PA.Srt1</vt:lpstr>
      <vt:lpstr>PPK.Pers</vt:lpstr>
      <vt:lpstr>PPK.Spek</vt:lpstr>
      <vt:lpstr>Pembanding</vt:lpstr>
      <vt:lpstr>PPK.HPS</vt:lpstr>
      <vt:lpstr>spk.B</vt:lpstr>
      <vt:lpstr>spk.PK</vt:lpstr>
      <vt:lpstr>PPK.Srt1</vt:lpstr>
      <vt:lpstr>PP.Rev</vt:lpstr>
      <vt:lpstr>PP.Srt1</vt:lpstr>
      <vt:lpstr>PP.Eval.B</vt:lpstr>
      <vt:lpstr>Nego</vt:lpstr>
      <vt:lpstr>PP.Srt2</vt:lpstr>
      <vt:lpstr>PPK.B</vt:lpstr>
      <vt:lpstr>PPK.PK</vt:lpstr>
      <vt:lpstr>P1</vt:lpstr>
      <vt:lpstr>Srt2.PK</vt:lpstr>
      <vt:lpstr>PA.Srt2</vt:lpstr>
      <vt:lpstr>PHP</vt:lpstr>
      <vt:lpstr>PA.BAST</vt:lpstr>
      <vt:lpstr>ResKon</vt:lpstr>
      <vt:lpstr>Bayar</vt:lpstr>
      <vt:lpstr>spk.cover</vt:lpstr>
      <vt:lpstr>Uang</vt:lpstr>
      <vt:lpstr>_pan1</vt:lpstr>
      <vt:lpstr>_pan2</vt:lpstr>
      <vt:lpstr>_pan3</vt:lpstr>
      <vt:lpstr>_pan4</vt:lpstr>
      <vt:lpstr>_pan5</vt:lpstr>
      <vt:lpstr>apip</vt:lpstr>
      <vt:lpstr>apip_lok</vt:lpstr>
      <vt:lpstr>aturan</vt:lpstr>
      <vt:lpstr>bu_almt</vt:lpstr>
      <vt:lpstr>bu_hn</vt:lpstr>
      <vt:lpstr>bu_hn2</vt:lpstr>
      <vt:lpstr>bu_hp</vt:lpstr>
      <vt:lpstr>bu_hp2</vt:lpstr>
      <vt:lpstr>bu_lok</vt:lpstr>
      <vt:lpstr>bu_nama</vt:lpstr>
      <vt:lpstr>bu_npwp</vt:lpstr>
      <vt:lpstr>bu_pim</vt:lpstr>
      <vt:lpstr>bu_pimn</vt:lpstr>
      <vt:lpstr>bu_rek</vt:lpstr>
      <vt:lpstr>dana</vt:lpstr>
      <vt:lpstr>hps</vt:lpstr>
      <vt:lpstr>hps_ter</vt:lpstr>
      <vt:lpstr>hsls</vt:lpstr>
      <vt:lpstr>jenis</vt:lpstr>
      <vt:lpstr>kontrak_bentuk</vt:lpstr>
      <vt:lpstr>lingkup</vt:lpstr>
      <vt:lpstr>lokasi</vt:lpstr>
      <vt:lpstr>masa</vt:lpstr>
      <vt:lpstr>met_pil</vt:lpstr>
      <vt:lpstr>mulai.spk</vt:lpstr>
      <vt:lpstr>spk.B!no.SPK</vt:lpstr>
      <vt:lpstr>no.SPK</vt:lpstr>
      <vt:lpstr>ResKon!OLE_LINK5</vt:lpstr>
      <vt:lpstr>opd_almt</vt:lpstr>
      <vt:lpstr>opd_lok</vt:lpstr>
      <vt:lpstr>opd_nama</vt:lpstr>
      <vt:lpstr>opd_pem</vt:lpstr>
      <vt:lpstr>pa_gol</vt:lpstr>
      <vt:lpstr>pa_gol2</vt:lpstr>
      <vt:lpstr>pa_jab</vt:lpstr>
      <vt:lpstr>pa_lok</vt:lpstr>
      <vt:lpstr>pa_nam</vt:lpstr>
      <vt:lpstr>pa_nip</vt:lpstr>
      <vt:lpstr>pa_sku</vt:lpstr>
      <vt:lpstr>pagu</vt:lpstr>
      <vt:lpstr>paket</vt:lpstr>
      <vt:lpstr>php_jab</vt:lpstr>
      <vt:lpstr>php_lok</vt:lpstr>
      <vt:lpstr>php_na1</vt:lpstr>
      <vt:lpstr>php_na2</vt:lpstr>
      <vt:lpstr>php_na3</vt:lpstr>
      <vt:lpstr>php_nip1</vt:lpstr>
      <vt:lpstr>php_nip2</vt:lpstr>
      <vt:lpstr>php_nip3</vt:lpstr>
      <vt:lpstr>pokja</vt:lpstr>
      <vt:lpstr>pp_lok</vt:lpstr>
      <vt:lpstr>pp_nip</vt:lpstr>
      <vt:lpstr>ppk_gol</vt:lpstr>
      <vt:lpstr>ppk_gol2</vt:lpstr>
      <vt:lpstr>ppk_jab</vt:lpstr>
      <vt:lpstr>ppk_lok</vt:lpstr>
      <vt:lpstr>ppk_nama</vt:lpstr>
      <vt:lpstr>ppk_nip</vt:lpstr>
      <vt:lpstr>ppn</vt:lpstr>
      <vt:lpstr>Bayar!Print_Area</vt:lpstr>
      <vt:lpstr>Input!Print_Area</vt:lpstr>
      <vt:lpstr>Nego!Print_Area</vt:lpstr>
      <vt:lpstr>'P1'!Print_Area</vt:lpstr>
      <vt:lpstr>PA.BAST!Print_Area</vt:lpstr>
      <vt:lpstr>PA.Srt1!Print_Area</vt:lpstr>
      <vt:lpstr>PA.Srt2!Print_Area</vt:lpstr>
      <vt:lpstr>Pembanding!Print_Area</vt:lpstr>
      <vt:lpstr>PHP!Print_Area</vt:lpstr>
      <vt:lpstr>PP.Eval.B!Print_Area</vt:lpstr>
      <vt:lpstr>PP.Rev!Print_Area</vt:lpstr>
      <vt:lpstr>PP.Srt1!Print_Area</vt:lpstr>
      <vt:lpstr>PP.Srt2!Print_Area</vt:lpstr>
      <vt:lpstr>PPK.B!Print_Area</vt:lpstr>
      <vt:lpstr>PPK.HPS!Print_Area</vt:lpstr>
      <vt:lpstr>PPK.Pers!Print_Area</vt:lpstr>
      <vt:lpstr>PPK.PK!Print_Area</vt:lpstr>
      <vt:lpstr>PPK.Spek!Print_Area</vt:lpstr>
      <vt:lpstr>PPK.Srt1!Print_Area</vt:lpstr>
      <vt:lpstr>ResKon!Print_Area</vt:lpstr>
      <vt:lpstr>spk.B!Print_Area</vt:lpstr>
      <vt:lpstr>spk.cover!Print_Area</vt:lpstr>
      <vt:lpstr>spk.PK!Print_Area</vt:lpstr>
      <vt:lpstr>Srt2.PK!Print_Area</vt:lpstr>
      <vt:lpstr>Bayar!Print_Titles</vt:lpstr>
      <vt:lpstr>PA.Srt1!Print_Titles</vt:lpstr>
      <vt:lpstr>PA.Srt2!Print_Titles</vt:lpstr>
      <vt:lpstr>Pembanding!Print_Titles</vt:lpstr>
      <vt:lpstr>PP.Srt1!Print_Titles</vt:lpstr>
      <vt:lpstr>PP.Srt2!Print_Titles</vt:lpstr>
      <vt:lpstr>PPK.B!Print_Titles</vt:lpstr>
      <vt:lpstr>PPK.HPS!Print_Titles</vt:lpstr>
      <vt:lpstr>PPK.PK!Print_Titles</vt:lpstr>
      <vt:lpstr>PPK.Spek!Print_Titles</vt:lpstr>
      <vt:lpstr>spk_nilai</vt:lpstr>
      <vt:lpstr>spk_no</vt:lpstr>
      <vt:lpstr>spk_ter</vt:lpstr>
      <vt:lpstr>spk_tgl</vt:lpstr>
      <vt:lpstr>tahun</vt:lpstr>
      <vt:lpstr>tempat</vt:lpstr>
      <vt:lpstr>spk.B!tgl.SPK</vt:lpstr>
      <vt:lpstr>tgl.SPK</vt:lpstr>
      <vt:lpstr>tiko1</vt:lpstr>
      <vt:lpstr>tiko2</vt:lpstr>
      <vt:lpstr>ukpbj</vt:lpstr>
      <vt:lpstr>ukpbj_almt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Gugur</dc:title>
  <dc:creator>Ika Kurnia Mustika</dc:creator>
  <cp:lastModifiedBy>Ika Kurnia Mustika</cp:lastModifiedBy>
  <cp:lastPrinted>2025-11-26T04:10:43Z</cp:lastPrinted>
  <dcterms:created xsi:type="dcterms:W3CDTF">2012-02-29T04:28:00Z</dcterms:created>
  <dcterms:modified xsi:type="dcterms:W3CDTF">2025-12-15T04:52:17Z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AD302943945C47839B5E0CBEE9B26E09_12</vt:lpwstr>
  </property>
  <property fmtid="{D5CDD505-2E9C-101B-9397-08002B2CF9AE}" pid="3" name="KSOProductBuildVer">
    <vt:lpwstr>1033-12.2.0.22549</vt:lpwstr>
  </property>
</Properties>
</file>