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2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ace9d7e5e1c3453/Excel Forms/"/>
    </mc:Choice>
  </mc:AlternateContent>
  <xr:revisionPtr revIDLastSave="550" documentId="8_{FADF7FA8-87B2-486D-B5FC-CC4084D8803C}" xr6:coauthVersionLast="47" xr6:coauthVersionMax="47" xr10:uidLastSave="{B7400D07-045F-4591-905A-1E0A5F8EF3A6}"/>
  <bookViews>
    <workbookView xWindow="-98" yWindow="-98" windowWidth="28996" windowHeight="15796" tabRatio="476" xr2:uid="{9F53DC20-FD4F-4186-8DE2-AFB65B9CB32D}"/>
  </bookViews>
  <sheets>
    <sheet name="PAK" sheetId="2" r:id="rId1"/>
  </sheets>
  <definedNames>
    <definedName name="asdep">#REF!</definedName>
    <definedName name="kegiatan">#REF!</definedName>
    <definedName name="_xlnm.Print_Area" localSheetId="0">PAK!$A$1:$P$120</definedName>
    <definedName name="_xlnm.Print_Titles" localSheetId="0">PAK!$1:$3</definedName>
    <definedName name="sfsdf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96" i="2" l="1"/>
  <c r="T96" i="2"/>
  <c r="AC22" i="2"/>
  <c r="AC23" i="2"/>
  <c r="AC24" i="2"/>
  <c r="AC25" i="2"/>
  <c r="AC26" i="2"/>
  <c r="AC27" i="2"/>
  <c r="AC28" i="2"/>
  <c r="AC19" i="2"/>
  <c r="AC20" i="2"/>
  <c r="AC21" i="2"/>
  <c r="T92" i="2"/>
  <c r="AE29" i="2"/>
  <c r="AE28" i="2"/>
  <c r="AE27" i="2"/>
  <c r="AE26" i="2"/>
  <c r="AE25" i="2"/>
  <c r="AE24" i="2"/>
  <c r="AE23" i="2"/>
  <c r="AE22" i="2"/>
  <c r="AE21" i="2"/>
  <c r="AE20" i="2"/>
  <c r="AE19" i="2"/>
  <c r="AE18" i="2"/>
  <c r="B106" i="2" l="1"/>
  <c r="M103" i="2" l="1"/>
  <c r="AC18" i="2"/>
  <c r="D82" i="2"/>
  <c r="D42" i="2"/>
  <c r="L60" i="2"/>
  <c r="L61" i="2"/>
  <c r="AA18" i="2"/>
  <c r="AA19" i="2"/>
  <c r="AA20" i="2"/>
  <c r="AA21" i="2"/>
  <c r="AA22" i="2"/>
  <c r="AA23" i="2"/>
  <c r="AA24" i="2"/>
  <c r="AA25" i="2"/>
  <c r="AA27" i="2"/>
  <c r="AA28" i="2"/>
  <c r="AA29" i="2"/>
  <c r="AA26" i="2"/>
  <c r="Y30" i="2"/>
  <c r="Z30" i="2" s="1"/>
  <c r="Y29" i="2"/>
  <c r="Z29" i="2" s="1"/>
  <c r="Y27" i="2"/>
  <c r="Z27" i="2" s="1"/>
  <c r="Y26" i="2"/>
  <c r="Z26" i="2" s="1"/>
  <c r="Y25" i="2"/>
  <c r="Z25" i="2" s="1"/>
  <c r="Y24" i="2"/>
  <c r="Z24" i="2" s="1"/>
  <c r="J23" i="2" s="1"/>
  <c r="Y23" i="2"/>
  <c r="Z23" i="2" s="1"/>
  <c r="Y22" i="2"/>
  <c r="Z22" i="2" s="1"/>
  <c r="Y21" i="2"/>
  <c r="Z21" i="2" s="1"/>
  <c r="Y20" i="2"/>
  <c r="Z20" i="2" s="1"/>
  <c r="Y19" i="2"/>
  <c r="Z19" i="2" s="1"/>
  <c r="Y18" i="2"/>
  <c r="Z18" i="2" s="1"/>
  <c r="Y28" i="2"/>
  <c r="Z28" i="2" s="1"/>
  <c r="AB18" i="2"/>
  <c r="AB19" i="2"/>
  <c r="AB20" i="2"/>
  <c r="AB21" i="2"/>
  <c r="AB30" i="2"/>
  <c r="AC30" i="2" s="1"/>
  <c r="AB28" i="2"/>
  <c r="AB27" i="2"/>
  <c r="AB26" i="2"/>
  <c r="AB25" i="2"/>
  <c r="AB22" i="2"/>
  <c r="AB23" i="2"/>
  <c r="AB24" i="2"/>
  <c r="A109" i="2"/>
  <c r="J60" i="2"/>
  <c r="J61" i="2"/>
  <c r="J58" i="2"/>
  <c r="I49" i="2"/>
  <c r="P82" i="2"/>
  <c r="I84" i="2"/>
  <c r="I85" i="2"/>
  <c r="I86" i="2"/>
  <c r="I87" i="2"/>
  <c r="I88" i="2"/>
  <c r="I89" i="2"/>
  <c r="K103" i="2" s="1"/>
  <c r="P89" i="2"/>
  <c r="I90" i="2"/>
  <c r="P90" i="2"/>
  <c r="I91" i="2"/>
  <c r="K98" i="2"/>
  <c r="L108" i="2"/>
  <c r="N108" i="2"/>
  <c r="L109" i="2"/>
  <c r="N109" i="2"/>
  <c r="L112" i="2"/>
  <c r="S99" i="2"/>
  <c r="L113" i="2"/>
  <c r="B115" i="2"/>
  <c r="B116" i="2"/>
  <c r="B117" i="2"/>
  <c r="L58" i="2" l="1"/>
  <c r="L59" i="2" s="1"/>
  <c r="T97" i="2"/>
  <c r="K101" i="2"/>
  <c r="U101" i="2" l="1"/>
  <c r="U102" i="2" s="1"/>
  <c r="M99" i="2" s="1"/>
  <c r="P42" i="2" l="1"/>
  <c r="I44" i="2"/>
  <c r="I45" i="2"/>
  <c r="I46" i="2"/>
  <c r="I47" i="2"/>
  <c r="I48" i="2"/>
  <c r="P49" i="2"/>
  <c r="I50" i="2"/>
  <c r="P50" i="2"/>
  <c r="I51" i="2"/>
  <c r="I52" i="2"/>
  <c r="G59" i="2"/>
  <c r="J59" i="2" s="1"/>
  <c r="L65" i="2"/>
  <c r="N65" i="2"/>
  <c r="L66" i="2"/>
  <c r="N66" i="2"/>
  <c r="L69" i="2"/>
  <c r="L70" i="2"/>
  <c r="B72" i="2"/>
  <c r="B73" i="2"/>
  <c r="B74" i="2"/>
  <c r="B76" i="2"/>
  <c r="B35" i="2"/>
  <c r="F23" i="2"/>
  <c r="M23" i="2" s="1"/>
  <c r="M59" i="2" l="1"/>
  <c r="M61" i="2"/>
  <c r="M60" i="2"/>
  <c r="B75" i="2"/>
  <c r="M62" i="2" l="1"/>
  <c r="L98" i="2"/>
  <c r="L101" i="2" l="1"/>
  <c r="M98" i="2"/>
  <c r="M101" i="2" s="1"/>
  <c r="M105" i="2" s="1"/>
  <c r="T93" i="2" l="1"/>
  <c r="T95" i="2" s="1"/>
  <c r="K104" i="2"/>
  <c r="T94" i="2"/>
  <c r="U94" i="2" s="1"/>
  <c r="A105" i="2" s="1"/>
  <c r="U93" i="2" l="1"/>
  <c r="A104" i="2" s="1"/>
</calcChain>
</file>

<file path=xl/sharedStrings.xml><?xml version="1.0" encoding="utf-8"?>
<sst xmlns="http://schemas.openxmlformats.org/spreadsheetml/2006/main" count="253" uniqueCount="134">
  <si>
    <t>PENETAPAN ANGKA KREDIT</t>
  </si>
  <si>
    <t>I</t>
  </si>
  <si>
    <t>KETERANGAN PERORANGAN</t>
  </si>
  <si>
    <t>:</t>
  </si>
  <si>
    <t>NIP</t>
  </si>
  <si>
    <t>Nomor Seri KARPEG</t>
  </si>
  <si>
    <t>Pangkat/Golongan ruang TMT</t>
  </si>
  <si>
    <t>Jenis Kelamin</t>
  </si>
  <si>
    <t>Jabatan Fungsional/ TMT</t>
  </si>
  <si>
    <t>Unit Kerja</t>
  </si>
  <si>
    <t>II</t>
  </si>
  <si>
    <t>LAMA</t>
  </si>
  <si>
    <t>BARU</t>
  </si>
  <si>
    <t>JUMLAH</t>
  </si>
  <si>
    <t>KETERANGAN</t>
  </si>
  <si>
    <t>1.</t>
  </si>
  <si>
    <t>AK Dasar yang diberikan</t>
  </si>
  <si>
    <t>2.</t>
  </si>
  <si>
    <t>3.</t>
  </si>
  <si>
    <t>4.</t>
  </si>
  <si>
    <t>=</t>
  </si>
  <si>
    <t>5.</t>
  </si>
  <si>
    <t>Angka Kredit Minimal yang harus dipenuhi untuk kenaikan pangkat/jenjang</t>
  </si>
  <si>
    <t>-</t>
  </si>
  <si>
    <t>III</t>
  </si>
  <si>
    <t>AK Naik Pangkat</t>
  </si>
  <si>
    <r>
      <t>ASLI</t>
    </r>
    <r>
      <rPr>
        <sz val="8"/>
        <rFont val="Tahoma"/>
        <family val="2"/>
      </rPr>
      <t xml:space="preserve"> penetapan Angka Kredit untuk:</t>
    </r>
  </si>
  <si>
    <t>Tembusan disampaikan kepada:</t>
  </si>
  <si>
    <t>*)</t>
  </si>
  <si>
    <t>KONVERSI PREDIKAT KINERJA KE ANGKA KREDIT</t>
  </si>
  <si>
    <t>Instansi</t>
  </si>
  <si>
    <t>PEJABAT FUNGSIONAL YANG DINILAI</t>
  </si>
  <si>
    <t>Hasil Penilaian Kinerja</t>
  </si>
  <si>
    <t>PREDIKAT</t>
  </si>
  <si>
    <t>Koefisien per tahun</t>
  </si>
  <si>
    <t>Angka Kredit yang didapat</t>
  </si>
  <si>
    <t>(Kolom 2 x Kolom 3)</t>
  </si>
  <si>
    <t>Pejabat Penilai Kinerja</t>
  </si>
  <si>
    <t>Nama</t>
  </si>
  <si>
    <t>Nomor Seri Karpeg</t>
  </si>
  <si>
    <t>Tempat/Tanggal Lahir</t>
  </si>
  <si>
    <t>Pangkat/Golongan Ruang/TMT</t>
  </si>
  <si>
    <t>Jabatan/TMT</t>
  </si>
  <si>
    <t>Sekretariat Daerah Provinsi NTB</t>
  </si>
  <si>
    <t>PEMERINTAH PROVINSI NUSA TENGGARA BARAT</t>
  </si>
  <si>
    <t>SEKRETARIAT DAERAH</t>
  </si>
  <si>
    <t>AKUMULASI ANGKA KREDIT</t>
  </si>
  <si>
    <t>HASIL PENILAIAN ANGKA KREDIT</t>
  </si>
  <si>
    <t>HASIL PENILAIAN KINERJA</t>
  </si>
  <si>
    <t>TAHUN</t>
  </si>
  <si>
    <t>PERIODIK</t>
  </si>
  <si>
    <t>(BULAN)</t>
  </si>
  <si>
    <t>KOEFISIEN PERTAHUN</t>
  </si>
  <si>
    <t>ANGKA KREDIT YANG DIDAPAT</t>
  </si>
  <si>
    <t>JUMLAH ANGKA KREDIT YANG DIPEROLEH</t>
  </si>
  <si>
    <t xml:space="preserve">Nama </t>
  </si>
  <si>
    <t>AK JF lama</t>
  </si>
  <si>
    <t>AK Penyesuaian/Penyetaraan</t>
  </si>
  <si>
    <t>AK Konversi</t>
  </si>
  <si>
    <t>AK yang diperoleh dari Peningkatan Pendidikan</t>
  </si>
  <si>
    <t>JUMLAH ANGKA KREDIT KUMULATIF</t>
  </si>
  <si>
    <t>Pangkat</t>
  </si>
  <si>
    <t>Jenjang Jabatan</t>
  </si>
  <si>
    <t>6.</t>
  </si>
  <si>
    <t>dapat ditambahkan AK sesuai ketentuan peraturan perundang-undangan</t>
  </si>
  <si>
    <t>Keterangan</t>
  </si>
  <si>
    <t>Predikat</t>
  </si>
  <si>
    <t>Sangat Baik</t>
  </si>
  <si>
    <t>Baik</t>
  </si>
  <si>
    <t>Cukup/butuh perbaikan</t>
  </si>
  <si>
    <t>Kurang</t>
  </si>
  <si>
    <t>Sangat kurang</t>
  </si>
  <si>
    <t>Januari-Desember</t>
  </si>
  <si>
    <t>AK yang diperoleh</t>
  </si>
  <si>
    <t>Periode : Januari s.d Desember 2023</t>
  </si>
  <si>
    <t>Jalan Pejanggik Nomor 12 Telp. (0370) 625274 - Mataram</t>
  </si>
  <si>
    <t>Laki-Laki</t>
  </si>
  <si>
    <t>Pangkat/Golongan</t>
  </si>
  <si>
    <t>Pengatur (II/c)</t>
  </si>
  <si>
    <t>Penata Muda (III/a)</t>
  </si>
  <si>
    <t>Penata (III/c)</t>
  </si>
  <si>
    <t>Pembina (IV/a)</t>
  </si>
  <si>
    <t>Pembina Tingkat I (IV/b)</t>
  </si>
  <si>
    <t>Penata Tingkat I (III/d)</t>
  </si>
  <si>
    <t>Pengatur Tingkat I (II/d)</t>
  </si>
  <si>
    <t>Pengatur Muda Tingkat I (II/b)</t>
  </si>
  <si>
    <t>Pembina Utama Muda (IV/c)</t>
  </si>
  <si>
    <t>Pembina Utama Madya (IV/d)</t>
  </si>
  <si>
    <t>Pembina Utama (IV/e)</t>
  </si>
  <si>
    <t>/</t>
  </si>
  <si>
    <t>Jenjang</t>
  </si>
  <si>
    <t>PERSENTASE</t>
  </si>
  <si>
    <t>Mataram</t>
  </si>
  <si>
    <t>Ditetapkan di</t>
  </si>
  <si>
    <t>Pada tanggal</t>
  </si>
  <si>
    <r>
      <t xml:space="preserve">NOMOR :                                                         </t>
    </r>
    <r>
      <rPr>
        <sz val="8"/>
        <color theme="0"/>
        <rFont val="Arial"/>
        <family val="2"/>
      </rPr>
      <t>.</t>
    </r>
  </si>
  <si>
    <r>
      <t xml:space="preserve">NOMOR :                                                         </t>
    </r>
    <r>
      <rPr>
        <b/>
        <sz val="10"/>
        <color theme="0"/>
        <rFont val="Tahoma"/>
        <family val="2"/>
      </rPr>
      <t>.</t>
    </r>
  </si>
  <si>
    <r>
      <t xml:space="preserve">NOMOR :                                                         </t>
    </r>
    <r>
      <rPr>
        <b/>
        <sz val="12"/>
        <color theme="0"/>
        <rFont val="Arial"/>
        <family val="2"/>
      </rPr>
      <t>.</t>
    </r>
  </si>
  <si>
    <t>Kelebihan / Kekurangan</t>
  </si>
  <si>
    <t>Dapat</t>
  </si>
  <si>
    <t>25% x kebutuhan kenaikan pangkat</t>
  </si>
  <si>
    <t>Kebutuhan naik Pangkat</t>
  </si>
  <si>
    <t>AK Pendidikan</t>
  </si>
  <si>
    <t>Kepala Lembaga Kebijakan Pengadaan Barang/Jasa Pemerintah Republik Indonesia;</t>
  </si>
  <si>
    <t>Kepala Badan Kepegawaian Daerah Provinsi NTB;</t>
  </si>
  <si>
    <t>Pertinggal</t>
  </si>
  <si>
    <t>Pertinggal.</t>
  </si>
  <si>
    <t>Ada Martabat, ST, MT</t>
  </si>
  <si>
    <t>20001232 201501 1 007</t>
  </si>
  <si>
    <t>G 123456</t>
  </si>
  <si>
    <t>Hogmeade, 32 Desember 2000</t>
  </si>
  <si>
    <t>Pengelola Sesuatu Ahli Pertama</t>
  </si>
  <si>
    <t>Pengelola Sesuatu Ahli Muda</t>
  </si>
  <si>
    <t>Pengelola Sesuatu Ahli Madya</t>
  </si>
  <si>
    <t>NIP. 19700101 199001 1 001</t>
  </si>
  <si>
    <t>Robby Del Drago, ST, SH, MT, MH, M.Eng</t>
  </si>
  <si>
    <t>Skor</t>
  </si>
  <si>
    <t>&lt;- Predikat diisi sesuai SKP tahunan</t>
  </si>
  <si>
    <t>Kantor Pembuat Formulir</t>
  </si>
  <si>
    <t>Kepala Kantor Pembuat Formulir NTB;</t>
  </si>
  <si>
    <t>Jenjang Jafung</t>
  </si>
  <si>
    <t>Pengatur Muda (II/a)</t>
  </si>
  <si>
    <t>Penata Muda Tingkat I (III/b)</t>
  </si>
  <si>
    <t>Naik Jenjang ke</t>
  </si>
  <si>
    <t>Naik Pangkat ke</t>
  </si>
  <si>
    <r>
      <t>….....</t>
    </r>
    <r>
      <rPr>
        <vertAlign val="superscript"/>
        <sz val="10"/>
        <color rgb="FF000000"/>
        <rFont val="Tahoma"/>
        <family val="2"/>
      </rPr>
      <t>*)</t>
    </r>
  </si>
  <si>
    <t>Rentang Angka Kredit Akumulasi Baru (Integrasi)
PerBKN 3/2023</t>
  </si>
  <si>
    <t>AK Naik Jenjang Jabatan</t>
  </si>
  <si>
    <t>&lt;- AK yg diisi dari konversi PAK sebelumnya atau diisi 0 jika baru naik jenjang</t>
  </si>
  <si>
    <t>Utama</t>
  </si>
  <si>
    <t>Kondisi</t>
  </si>
  <si>
    <t>Catatan:</t>
  </si>
  <si>
    <t>Kenaikan pangkat tidak menghapus angka kredit lama.</t>
  </si>
  <si>
    <t>Setelah naik pangkat, di kolom lama, isi total sebelum kenaikan pangkatnya. Jangan gunakan AK kelebihannya saja.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</si>
</sst>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dd\ \-\ mm\ \-\ yyyy"/>
    <numFmt numFmtId="166" formatCode="[$-421]d\ mmmm\ yyyy"/>
    <numFmt numFmtId="167" formatCode="#,##0.00;[Yellow]\-#,##0.00"/>
    <numFmt numFmtId="168" formatCode="#,##0.000_-;\-* #,##0.000_-;_-* &quot;&quot;???_-;_-@_-"/>
  </numFmts>
  <fonts count="28" x14ac:knownFonts="1">
    <font>
      <sz val="10"/>
      <name val="Arial"/>
    </font>
    <font>
      <sz val="10"/>
      <name val="Tahoma"/>
      <family val="2"/>
    </font>
    <font>
      <b/>
      <sz val="12"/>
      <name val="Tahoma"/>
      <family val="2"/>
    </font>
    <font>
      <b/>
      <sz val="10"/>
      <name val="Tahoma"/>
      <family val="2"/>
    </font>
    <font>
      <sz val="10"/>
      <color rgb="FF000000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sz val="11"/>
      <name val="Arial"/>
      <family val="2"/>
    </font>
    <font>
      <sz val="11"/>
      <name val="Tahoma"/>
      <family val="2"/>
    </font>
    <font>
      <b/>
      <sz val="11"/>
      <name val="Arial"/>
      <family val="2"/>
    </font>
    <font>
      <b/>
      <sz val="12"/>
      <name val="Arial"/>
      <family val="2"/>
    </font>
    <font>
      <vertAlign val="superscript"/>
      <sz val="10"/>
      <color rgb="FF000000"/>
      <name val="Tahoma"/>
      <family val="2"/>
    </font>
    <font>
      <b/>
      <sz val="14"/>
      <name val="Tahoma"/>
      <family val="2"/>
    </font>
    <font>
      <b/>
      <sz val="30"/>
      <name val="Tahoma"/>
      <family val="2"/>
    </font>
    <font>
      <sz val="8"/>
      <color theme="0"/>
      <name val="Arial"/>
      <family val="2"/>
    </font>
    <font>
      <b/>
      <sz val="11"/>
      <name val="Tahoma"/>
      <family val="2"/>
    </font>
    <font>
      <b/>
      <sz val="10"/>
      <color theme="0"/>
      <name val="Tahoma"/>
      <family val="2"/>
    </font>
    <font>
      <b/>
      <sz val="12"/>
      <color theme="0"/>
      <name val="Arial"/>
      <family val="2"/>
    </font>
    <font>
      <sz val="11"/>
      <color rgb="FFFFFF00"/>
      <name val="Arial"/>
      <family val="2"/>
    </font>
    <font>
      <sz val="10"/>
      <color rgb="FFFFFF00"/>
      <name val="Tahoma"/>
      <family val="2"/>
    </font>
    <font>
      <sz val="9"/>
      <name val="Tahoma"/>
      <family val="2"/>
    </font>
    <font>
      <sz val="11"/>
      <color rgb="FFFFFF00"/>
      <name val="Arial"/>
      <family val="2"/>
      <charset val="1"/>
    </font>
    <font>
      <sz val="10"/>
      <color rgb="FFFFFF00"/>
      <name val="Tahoma"/>
      <family val="2"/>
      <charset val="1"/>
    </font>
    <font>
      <sz val="10"/>
      <name val="Tahoma"/>
      <family val="2"/>
      <charset val="1"/>
    </font>
    <font>
      <b/>
      <sz val="11"/>
      <name val="Arial"/>
      <family val="2"/>
      <charset val="1"/>
    </font>
    <font>
      <b/>
      <sz val="10"/>
      <name val="Tahoma"/>
      <family val="2"/>
      <charset val="1"/>
    </font>
    <font>
      <sz val="11"/>
      <name val="Arial"/>
      <family val="2"/>
      <charset val="1"/>
    </font>
    <font>
      <b/>
      <sz val="10"/>
      <color rgb="FFFFFF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4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9" fontId="7" fillId="0" borderId="10" xfId="0" applyNumberFormat="1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2" xfId="0" quotePrefix="1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65" fontId="7" fillId="0" borderId="3" xfId="0" applyNumberFormat="1" applyFont="1" applyBorder="1" applyAlignment="1">
      <alignment horizontal="left" vertical="center"/>
    </xf>
    <xf numFmtId="0" fontId="7" fillId="0" borderId="12" xfId="0" quotePrefix="1" applyFont="1" applyBorder="1" applyAlignment="1">
      <alignment vertical="center"/>
    </xf>
    <xf numFmtId="0" fontId="1" fillId="0" borderId="0" xfId="0" applyFont="1" applyAlignment="1">
      <alignment horizontal="center" vertical="top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15" xfId="0" applyFont="1" applyBorder="1"/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" fillId="0" borderId="0" xfId="0" quotePrefix="1" applyFont="1" applyAlignment="1">
      <alignment vertical="center"/>
    </xf>
    <xf numFmtId="0" fontId="1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1" fillId="0" borderId="2" xfId="0" quotePrefix="1" applyFont="1" applyBorder="1" applyAlignment="1">
      <alignment vertical="center"/>
    </xf>
    <xf numFmtId="0" fontId="18" fillId="0" borderId="0" xfId="0" applyFont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1" fillId="0" borderId="3" xfId="0" applyNumberFormat="1" applyFont="1" applyBorder="1" applyAlignment="1">
      <alignment horizontal="left" vertical="center"/>
    </xf>
    <xf numFmtId="167" fontId="1" fillId="0" borderId="0" xfId="0" applyNumberFormat="1" applyFont="1" applyAlignment="1">
      <alignment vertical="center"/>
    </xf>
    <xf numFmtId="167" fontId="1" fillId="0" borderId="5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vertical="top"/>
    </xf>
    <xf numFmtId="0" fontId="20" fillId="0" borderId="0" xfId="0" quotePrefix="1" applyFont="1" applyAlignment="1">
      <alignment horizontal="left" vertical="top"/>
    </xf>
    <xf numFmtId="0" fontId="7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166" fontId="1" fillId="0" borderId="0" xfId="0" applyNumberFormat="1" applyFont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7" fillId="0" borderId="0" xfId="0" quotePrefix="1" applyFont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2" fontId="1" fillId="3" borderId="9" xfId="0" applyNumberFormat="1" applyFont="1" applyFill="1" applyBorder="1" applyAlignment="1">
      <alignment horizontal="center" vertical="center"/>
    </xf>
    <xf numFmtId="165" fontId="7" fillId="0" borderId="2" xfId="0" quotePrefix="1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7" fillId="0" borderId="14" xfId="0" quotePrefix="1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9" fontId="7" fillId="0" borderId="0" xfId="0" applyNumberFormat="1" applyFont="1" applyAlignment="1">
      <alignment vertical="center"/>
    </xf>
    <xf numFmtId="0" fontId="18" fillId="0" borderId="9" xfId="0" applyFont="1" applyBorder="1" applyAlignment="1">
      <alignment vertical="center"/>
    </xf>
    <xf numFmtId="0" fontId="18" fillId="0" borderId="11" xfId="0" applyFont="1" applyBorder="1" applyAlignment="1">
      <alignment horizontal="left" vertical="center"/>
    </xf>
    <xf numFmtId="0" fontId="23" fillId="0" borderId="16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7" fillId="0" borderId="14" xfId="0" quotePrefix="1" applyFont="1" applyBorder="1"/>
    <xf numFmtId="0" fontId="18" fillId="0" borderId="6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18" fillId="0" borderId="12" xfId="0" applyFont="1" applyBorder="1" applyAlignment="1">
      <alignment horizontal="left" vertical="center"/>
    </xf>
    <xf numFmtId="0" fontId="1" fillId="0" borderId="10" xfId="0" quotePrefix="1" applyFont="1" applyBorder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23" fillId="0" borderId="16" xfId="0" applyFont="1" applyBorder="1" applyAlignment="1">
      <alignment horizontal="center" vertical="center"/>
    </xf>
    <xf numFmtId="0" fontId="23" fillId="0" borderId="16" xfId="0" quotePrefix="1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0" xfId="0" quotePrefix="1" applyFont="1" applyAlignment="1">
      <alignment horizontal="center" vertical="center"/>
    </xf>
    <xf numFmtId="0" fontId="22" fillId="0" borderId="10" xfId="0" quotePrefix="1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3" fillId="0" borderId="14" xfId="0" applyFont="1" applyBorder="1" applyAlignment="1">
      <alignment horizontal="center" vertical="center"/>
    </xf>
    <xf numFmtId="0" fontId="26" fillId="0" borderId="14" xfId="0" quotePrefix="1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8" fontId="1" fillId="0" borderId="4" xfId="0" applyNumberFormat="1" applyFont="1" applyBorder="1" applyAlignment="1">
      <alignment horizontal="center" vertical="center"/>
    </xf>
    <xf numFmtId="168" fontId="1" fillId="0" borderId="2" xfId="0" applyNumberFormat="1" applyFont="1" applyBorder="1" applyAlignment="1">
      <alignment horizontal="center" vertical="center"/>
    </xf>
    <xf numFmtId="168" fontId="1" fillId="0" borderId="3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168" fontId="3" fillId="0" borderId="4" xfId="0" applyNumberFormat="1" applyFont="1" applyBorder="1" applyAlignment="1">
      <alignment horizontal="center" vertical="center"/>
    </xf>
    <xf numFmtId="168" fontId="3" fillId="0" borderId="2" xfId="0" applyNumberFormat="1" applyFont="1" applyBorder="1" applyAlignment="1">
      <alignment horizontal="center" vertical="center"/>
    </xf>
    <xf numFmtId="168" fontId="3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66" fontId="8" fillId="0" borderId="0" xfId="0" applyNumberFormat="1" applyFont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9" fillId="0" borderId="4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166" fontId="8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9" fontId="24" fillId="0" borderId="13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/>
    <xf numFmtId="0" fontId="2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3" Type="http://schemas.openxmlformats.org/officeDocument/2006/relationships/styles" Target="styles.xml"/><Relationship Id="rId7" Type="http://schemas.microsoft.com/office/2017/10/relationships/person" Target="persons/person0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10/relationships/person" Target="persons/person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35699</xdr:colOff>
      <xdr:row>0</xdr:row>
      <xdr:rowOff>22991</xdr:rowOff>
    </xdr:from>
    <xdr:to>
      <xdr:col>2</xdr:col>
      <xdr:colOff>152613</xdr:colOff>
      <xdr:row>2</xdr:row>
      <xdr:rowOff>149215</xdr:rowOff>
    </xdr:to>
    <xdr:pic>
      <xdr:nvPicPr>
        <xdr:cNvPr id="2" name="Picture 1" descr="NTBlogo">
          <a:extLst>
            <a:ext uri="{FF2B5EF4-FFF2-40B4-BE49-F238E27FC236}">
              <a16:creationId xmlns:a16="http://schemas.microsoft.com/office/drawing/2014/main" id="{220886C3-6018-494B-91AC-FFB3A145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699" y="22991"/>
          <a:ext cx="725686" cy="884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94B4A-E385-4E0C-A35B-6C42A5AC6E44}">
  <sheetPr>
    <tabColor rgb="FF00B0F0"/>
  </sheetPr>
  <dimension ref="A1:AE120"/>
  <sheetViews>
    <sheetView tabSelected="1" view="pageBreakPreview" topLeftCell="A84" zoomScale="115" zoomScaleNormal="100" zoomScaleSheetLayoutView="115" workbookViewId="0">
      <selection activeCell="S91" sqref="S91"/>
    </sheetView>
  </sheetViews>
  <sheetFormatPr defaultColWidth="9.1328125" defaultRowHeight="13.5" x14ac:dyDescent="0.35"/>
  <cols>
    <col min="1" max="1" width="3.59765625" style="12" customWidth="1"/>
    <col min="2" max="2" width="4.9296875" style="12" customWidth="1"/>
    <col min="3" max="3" width="2.265625" style="12" customWidth="1"/>
    <col min="4" max="4" width="3.33203125" style="12" customWidth="1"/>
    <col min="5" max="5" width="8.53125" style="12" customWidth="1"/>
    <col min="6" max="6" width="6.3984375" style="12" customWidth="1"/>
    <col min="7" max="7" width="7.33203125" style="12" customWidth="1"/>
    <col min="8" max="8" width="1.59765625" style="12" customWidth="1"/>
    <col min="9" max="9" width="2.73046875" style="12" customWidth="1"/>
    <col min="10" max="10" width="6.796875" style="12" customWidth="1"/>
    <col min="11" max="11" width="8.265625" style="12" customWidth="1"/>
    <col min="12" max="12" width="12.6640625" style="12" customWidth="1"/>
    <col min="13" max="13" width="1.59765625" style="12" customWidth="1"/>
    <col min="14" max="14" width="8.59765625" style="12" customWidth="1"/>
    <col min="15" max="15" width="1.59765625" style="12" customWidth="1"/>
    <col min="16" max="16" width="16.796875" style="12" customWidth="1"/>
    <col min="17" max="18" width="3.59765625" style="12" customWidth="1"/>
    <col min="19" max="19" width="29.59765625" style="12" customWidth="1"/>
    <col min="20" max="20" width="6.06640625" style="12" customWidth="1"/>
    <col min="21" max="21" width="23.19921875" style="12" customWidth="1"/>
    <col min="22" max="22" width="8.1328125" style="12" customWidth="1"/>
    <col min="23" max="23" width="1.59765625" style="12" customWidth="1"/>
    <col min="24" max="24" width="8.1328125" style="12" customWidth="1"/>
    <col min="25" max="29" width="8.59765625" style="12" customWidth="1"/>
    <col min="30" max="30" width="25.9296875" style="12" customWidth="1"/>
    <col min="31" max="16384" width="9.1328125" style="12"/>
  </cols>
  <sheetData>
    <row r="1" spans="1:31" ht="18.75" customHeight="1" x14ac:dyDescent="0.35">
      <c r="D1" s="159" t="s">
        <v>44</v>
      </c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38"/>
      <c r="R1" s="38"/>
      <c r="S1" s="38"/>
      <c r="T1" s="38"/>
      <c r="U1" s="38"/>
      <c r="V1" s="38"/>
    </row>
    <row r="2" spans="1:31" ht="40.9" customHeight="1" x14ac:dyDescent="0.35">
      <c r="D2" s="160" t="s">
        <v>45</v>
      </c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39"/>
      <c r="R2" s="39"/>
      <c r="S2" s="39"/>
      <c r="T2" s="39"/>
      <c r="U2" s="39"/>
      <c r="V2" s="39"/>
    </row>
    <row r="3" spans="1:31" ht="13.9" customHeight="1" thickBot="1" x14ac:dyDescent="0.4">
      <c r="A3" s="37"/>
      <c r="B3" s="37"/>
      <c r="C3" s="37"/>
      <c r="D3" s="161" t="s">
        <v>75</v>
      </c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34"/>
      <c r="R3" s="34"/>
      <c r="S3" s="34"/>
      <c r="T3" s="34"/>
      <c r="U3" s="34"/>
      <c r="V3" s="34"/>
    </row>
    <row r="4" spans="1:31" ht="13.9" thickTop="1" x14ac:dyDescent="0.35"/>
    <row r="5" spans="1:31" ht="20.25" customHeight="1" x14ac:dyDescent="0.35">
      <c r="A5" s="162" t="s">
        <v>29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</row>
    <row r="6" spans="1:31" ht="20.25" customHeight="1" x14ac:dyDescent="0.35">
      <c r="A6" s="162" t="s">
        <v>95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</row>
    <row r="7" spans="1:31" x14ac:dyDescent="0.3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31" ht="28.5" customHeight="1" x14ac:dyDescent="0.35">
      <c r="A8" s="18" t="s">
        <v>30</v>
      </c>
      <c r="B8" s="18"/>
      <c r="C8" s="18" t="s">
        <v>3</v>
      </c>
      <c r="D8" s="18" t="s">
        <v>43</v>
      </c>
      <c r="E8" s="18"/>
      <c r="F8" s="18"/>
      <c r="G8" s="18"/>
      <c r="H8" s="18"/>
      <c r="I8" s="18"/>
      <c r="J8" s="18"/>
      <c r="K8" s="18"/>
      <c r="M8" s="36"/>
      <c r="N8" s="36"/>
      <c r="O8" s="36"/>
      <c r="P8" s="36" t="s">
        <v>74</v>
      </c>
    </row>
    <row r="9" spans="1:31" s="18" customFormat="1" ht="28.5" customHeight="1" x14ac:dyDescent="0.35">
      <c r="A9" s="152" t="s">
        <v>31</v>
      </c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4"/>
      <c r="Q9" s="61"/>
      <c r="R9" s="61" t="s">
        <v>15</v>
      </c>
      <c r="S9" s="68" t="s">
        <v>66</v>
      </c>
      <c r="T9" s="17" t="s">
        <v>116</v>
      </c>
    </row>
    <row r="10" spans="1:31" s="18" customFormat="1" ht="28.5" customHeight="1" x14ac:dyDescent="0.35">
      <c r="A10" s="19">
        <v>1</v>
      </c>
      <c r="B10" s="20" t="s">
        <v>38</v>
      </c>
      <c r="C10" s="20"/>
      <c r="D10" s="20"/>
      <c r="E10" s="20"/>
      <c r="F10" s="20"/>
      <c r="G10" s="20"/>
      <c r="H10" s="21" t="s">
        <v>3</v>
      </c>
      <c r="I10" s="20" t="s">
        <v>107</v>
      </c>
      <c r="J10" s="20"/>
      <c r="K10" s="20"/>
      <c r="L10" s="20"/>
      <c r="M10" s="20"/>
      <c r="N10" s="20"/>
      <c r="O10" s="20"/>
      <c r="P10" s="22"/>
      <c r="S10" s="27" t="s">
        <v>67</v>
      </c>
      <c r="T10" s="26">
        <v>1.5</v>
      </c>
    </row>
    <row r="11" spans="1:31" s="18" customFormat="1" ht="28.5" customHeight="1" x14ac:dyDescent="0.35">
      <c r="A11" s="19">
        <v>2</v>
      </c>
      <c r="B11" s="20" t="s">
        <v>4</v>
      </c>
      <c r="C11" s="20"/>
      <c r="D11" s="20"/>
      <c r="E11" s="20"/>
      <c r="F11" s="20"/>
      <c r="G11" s="20"/>
      <c r="H11" s="21" t="s">
        <v>3</v>
      </c>
      <c r="I11" s="20" t="s">
        <v>108</v>
      </c>
      <c r="J11" s="20"/>
      <c r="K11" s="20"/>
      <c r="L11" s="20"/>
      <c r="M11" s="20"/>
      <c r="N11" s="20"/>
      <c r="O11" s="20"/>
      <c r="P11" s="22"/>
      <c r="S11" s="27" t="s">
        <v>68</v>
      </c>
      <c r="T11" s="26">
        <v>1</v>
      </c>
    </row>
    <row r="12" spans="1:31" s="18" customFormat="1" ht="28.5" customHeight="1" x14ac:dyDescent="0.35">
      <c r="A12" s="19">
        <v>3</v>
      </c>
      <c r="B12" s="20" t="s">
        <v>39</v>
      </c>
      <c r="C12" s="20"/>
      <c r="D12" s="20"/>
      <c r="E12" s="20"/>
      <c r="F12" s="20"/>
      <c r="G12" s="20"/>
      <c r="H12" s="21" t="s">
        <v>3</v>
      </c>
      <c r="I12" s="20" t="s">
        <v>109</v>
      </c>
      <c r="J12" s="20"/>
      <c r="K12" s="20"/>
      <c r="L12" s="20"/>
      <c r="M12" s="20"/>
      <c r="N12" s="20"/>
      <c r="O12" s="20"/>
      <c r="P12" s="22"/>
      <c r="S12" s="27" t="s">
        <v>69</v>
      </c>
      <c r="T12" s="26">
        <v>0.75</v>
      </c>
    </row>
    <row r="13" spans="1:31" s="18" customFormat="1" ht="28.5" customHeight="1" x14ac:dyDescent="0.35">
      <c r="A13" s="19">
        <v>4</v>
      </c>
      <c r="B13" s="20" t="s">
        <v>40</v>
      </c>
      <c r="C13" s="20"/>
      <c r="D13" s="20"/>
      <c r="E13" s="20"/>
      <c r="F13" s="20"/>
      <c r="G13" s="20"/>
      <c r="H13" s="21" t="s">
        <v>3</v>
      </c>
      <c r="I13" s="20" t="s">
        <v>110</v>
      </c>
      <c r="J13" s="20"/>
      <c r="K13" s="20"/>
      <c r="L13" s="20"/>
      <c r="M13" s="20"/>
      <c r="N13" s="20"/>
      <c r="O13" s="20"/>
      <c r="P13" s="22"/>
      <c r="S13" s="27" t="s">
        <v>70</v>
      </c>
      <c r="T13" s="26">
        <v>0.5</v>
      </c>
    </row>
    <row r="14" spans="1:31" s="18" customFormat="1" ht="28.5" customHeight="1" x14ac:dyDescent="0.35">
      <c r="A14" s="19">
        <v>5</v>
      </c>
      <c r="B14" s="20" t="s">
        <v>7</v>
      </c>
      <c r="C14" s="20"/>
      <c r="D14" s="20"/>
      <c r="E14" s="20"/>
      <c r="F14" s="20"/>
      <c r="G14" s="20"/>
      <c r="H14" s="21" t="s">
        <v>3</v>
      </c>
      <c r="I14" s="156" t="s">
        <v>76</v>
      </c>
      <c r="J14" s="156"/>
      <c r="K14" s="156"/>
      <c r="L14" s="156"/>
      <c r="M14" s="156"/>
      <c r="N14" s="20"/>
      <c r="O14" s="20"/>
      <c r="P14" s="22"/>
      <c r="S14" s="27" t="s">
        <v>71</v>
      </c>
      <c r="T14" s="26">
        <v>0.25</v>
      </c>
    </row>
    <row r="15" spans="1:31" s="18" customFormat="1" ht="28.5" customHeight="1" x14ac:dyDescent="0.35">
      <c r="A15" s="19">
        <v>6</v>
      </c>
      <c r="B15" s="20" t="s">
        <v>41</v>
      </c>
      <c r="C15" s="20"/>
      <c r="D15" s="20"/>
      <c r="E15" s="20"/>
      <c r="F15" s="20"/>
      <c r="G15" s="20"/>
      <c r="H15" s="21" t="s">
        <v>3</v>
      </c>
      <c r="I15" s="156" t="s">
        <v>80</v>
      </c>
      <c r="J15" s="156"/>
      <c r="K15" s="156"/>
      <c r="L15" s="156"/>
      <c r="M15" s="156"/>
      <c r="N15" s="20"/>
      <c r="O15" s="67" t="s">
        <v>89</v>
      </c>
      <c r="P15" s="32">
        <v>45200</v>
      </c>
      <c r="S15" s="69" t="s">
        <v>23</v>
      </c>
      <c r="T15" s="33" t="s">
        <v>23</v>
      </c>
    </row>
    <row r="16" spans="1:31" s="18" customFormat="1" ht="28.5" customHeight="1" x14ac:dyDescent="0.35">
      <c r="A16" s="19">
        <v>7</v>
      </c>
      <c r="B16" s="20" t="s">
        <v>42</v>
      </c>
      <c r="C16" s="20"/>
      <c r="D16" s="20"/>
      <c r="E16" s="20"/>
      <c r="F16" s="20"/>
      <c r="G16" s="20"/>
      <c r="H16" s="21" t="s">
        <v>3</v>
      </c>
      <c r="I16" s="156" t="s">
        <v>112</v>
      </c>
      <c r="J16" s="156"/>
      <c r="K16" s="156"/>
      <c r="L16" s="156"/>
      <c r="M16" s="156"/>
      <c r="N16" s="20"/>
      <c r="O16" s="67" t="s">
        <v>89</v>
      </c>
      <c r="P16" s="32">
        <v>43943</v>
      </c>
      <c r="R16" s="61" t="s">
        <v>17</v>
      </c>
      <c r="S16" s="200" t="s">
        <v>77</v>
      </c>
      <c r="T16" s="202" t="s">
        <v>120</v>
      </c>
      <c r="U16" s="203"/>
      <c r="V16" s="210" t="s">
        <v>126</v>
      </c>
      <c r="W16" s="211"/>
      <c r="X16" s="212"/>
      <c r="Y16" s="206" t="s">
        <v>25</v>
      </c>
      <c r="Z16" s="216">
        <v>0.25</v>
      </c>
      <c r="AA16" s="206" t="s">
        <v>127</v>
      </c>
      <c r="AB16" s="206" t="s">
        <v>90</v>
      </c>
      <c r="AC16" s="206" t="s">
        <v>123</v>
      </c>
      <c r="AD16" s="198" t="s">
        <v>124</v>
      </c>
      <c r="AE16" s="219"/>
    </row>
    <row r="17" spans="1:31" s="18" customFormat="1" ht="28.5" customHeight="1" x14ac:dyDescent="0.35">
      <c r="A17" s="19">
        <v>8</v>
      </c>
      <c r="B17" s="20" t="s">
        <v>9</v>
      </c>
      <c r="C17" s="20"/>
      <c r="D17" s="20"/>
      <c r="E17" s="20"/>
      <c r="F17" s="20"/>
      <c r="G17" s="20"/>
      <c r="H17" s="21" t="s">
        <v>3</v>
      </c>
      <c r="I17" s="157" t="s">
        <v>118</v>
      </c>
      <c r="J17" s="157"/>
      <c r="K17" s="157"/>
      <c r="L17" s="157"/>
      <c r="M17" s="157"/>
      <c r="N17" s="157"/>
      <c r="O17" s="157"/>
      <c r="P17" s="158"/>
      <c r="S17" s="201"/>
      <c r="T17" s="204"/>
      <c r="U17" s="205"/>
      <c r="V17" s="213"/>
      <c r="W17" s="214"/>
      <c r="X17" s="215"/>
      <c r="Y17" s="207"/>
      <c r="Z17" s="201"/>
      <c r="AA17" s="207"/>
      <c r="AB17" s="207"/>
      <c r="AC17" s="207"/>
      <c r="AD17" s="199"/>
      <c r="AE17" s="220" t="s">
        <v>130</v>
      </c>
    </row>
    <row r="18" spans="1:31" s="18" customFormat="1" ht="28.5" customHeight="1" x14ac:dyDescent="0.35">
      <c r="A18" s="19">
        <v>9</v>
      </c>
      <c r="B18" s="20" t="s">
        <v>30</v>
      </c>
      <c r="C18" s="20"/>
      <c r="D18" s="20"/>
      <c r="E18" s="20"/>
      <c r="F18" s="20"/>
      <c r="G18" s="20"/>
      <c r="H18" s="21" t="s">
        <v>3</v>
      </c>
      <c r="I18" s="157" t="s">
        <v>43</v>
      </c>
      <c r="J18" s="157"/>
      <c r="K18" s="157"/>
      <c r="L18" s="157"/>
      <c r="M18" s="157"/>
      <c r="N18" s="157"/>
      <c r="O18" s="157"/>
      <c r="P18" s="158"/>
      <c r="S18" s="27" t="s">
        <v>121</v>
      </c>
      <c r="T18" s="77"/>
      <c r="U18" s="78"/>
      <c r="V18" s="85"/>
      <c r="W18" s="86"/>
      <c r="X18" s="87"/>
      <c r="Y18" s="83" t="str">
        <f t="shared" ref="Y18:Y27" si="0">IFERROR(IF(OR(V18="",X18=""),"-",X18-V18),"-")</f>
        <v>-</v>
      </c>
      <c r="Z18" s="27" t="str">
        <f t="shared" ref="Z18:Z20" si="1">IFERROR(Y18/4,"")</f>
        <v/>
      </c>
      <c r="AA18" s="84" t="str">
        <f t="shared" ref="AA18:AA29" si="2">IF(COUNTA(T19:T21)=0,"-",IF(V19=0,X18,X19))</f>
        <v>-</v>
      </c>
      <c r="AB18" s="74" t="str">
        <f t="shared" ref="AB18:AB30" si="3">IFERROR(IF(FIND("Pertama",T18)&gt;0,"Pertama"),"")&amp;IFERROR(IF(FIND("Muda",T18)&gt;0,"Muda"),"")&amp;IFERROR(IF(FIND("Madya",T18)&gt;0,"Madya"),"")&amp;IFERROR(IF(FIND("Utama",T18)&gt;0,"Utama"),"")</f>
        <v/>
      </c>
      <c r="AC18" s="74" t="str">
        <f t="shared" ref="AC18:AC29" si="4">IF(AB19="",IF(AB20="",AB18,AB20),AB19)</f>
        <v/>
      </c>
      <c r="AD18" s="27" t="s">
        <v>85</v>
      </c>
      <c r="AE18" s="221">
        <f t="shared" ref="AE18:AE20" si="5">IF(AND(AB18="",ISTEXT(AB19)),1,0)</f>
        <v>1</v>
      </c>
    </row>
    <row r="19" spans="1:31" s="18" customFormat="1" ht="28.5" customHeight="1" x14ac:dyDescent="0.35">
      <c r="A19" s="155" t="s">
        <v>29</v>
      </c>
      <c r="B19" s="155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  <c r="S19" s="27" t="s">
        <v>85</v>
      </c>
      <c r="T19" s="72"/>
      <c r="U19" s="79"/>
      <c r="V19" s="88"/>
      <c r="W19" s="89"/>
      <c r="X19" s="90"/>
      <c r="Y19" s="83" t="str">
        <f t="shared" si="0"/>
        <v>-</v>
      </c>
      <c r="Z19" s="27" t="str">
        <f t="shared" si="1"/>
        <v/>
      </c>
      <c r="AA19" s="84">
        <f t="shared" si="2"/>
        <v>0</v>
      </c>
      <c r="AB19" s="74" t="str">
        <f t="shared" si="3"/>
        <v/>
      </c>
      <c r="AC19" s="74" t="str">
        <f t="shared" ref="AC19:AC20" si="6">AB20</f>
        <v/>
      </c>
      <c r="AD19" s="27" t="s">
        <v>78</v>
      </c>
      <c r="AE19" s="27">
        <f t="shared" si="5"/>
        <v>1</v>
      </c>
    </row>
    <row r="20" spans="1:31" s="18" customFormat="1" ht="28.5" customHeight="1" x14ac:dyDescent="0.35">
      <c r="A20" s="105" t="s">
        <v>32</v>
      </c>
      <c r="B20" s="105"/>
      <c r="C20" s="105"/>
      <c r="D20" s="105"/>
      <c r="E20" s="105"/>
      <c r="F20" s="105"/>
      <c r="G20" s="105"/>
      <c r="H20" s="105"/>
      <c r="I20" s="105"/>
      <c r="J20" s="105" t="s">
        <v>34</v>
      </c>
      <c r="K20" s="105"/>
      <c r="L20" s="105"/>
      <c r="M20" s="105" t="s">
        <v>35</v>
      </c>
      <c r="N20" s="105"/>
      <c r="O20" s="105"/>
      <c r="P20" s="105"/>
      <c r="S20" s="27" t="s">
        <v>78</v>
      </c>
      <c r="T20" s="72"/>
      <c r="U20" s="79"/>
      <c r="V20" s="88"/>
      <c r="W20" s="89"/>
      <c r="X20" s="90"/>
      <c r="Y20" s="83" t="str">
        <f t="shared" si="0"/>
        <v>-</v>
      </c>
      <c r="Z20" s="27" t="str">
        <f t="shared" si="1"/>
        <v/>
      </c>
      <c r="AA20" s="84">
        <f t="shared" si="2"/>
        <v>0</v>
      </c>
      <c r="AB20" s="74" t="str">
        <f t="shared" si="3"/>
        <v/>
      </c>
      <c r="AC20" s="74" t="str">
        <f t="shared" si="6"/>
        <v/>
      </c>
      <c r="AD20" s="27" t="s">
        <v>84</v>
      </c>
      <c r="AE20" s="27">
        <f t="shared" si="5"/>
        <v>1</v>
      </c>
    </row>
    <row r="21" spans="1:31" s="18" customFormat="1" ht="28.5" customHeight="1" x14ac:dyDescent="0.35">
      <c r="A21" s="105" t="s">
        <v>33</v>
      </c>
      <c r="B21" s="105"/>
      <c r="C21" s="105"/>
      <c r="D21" s="105"/>
      <c r="E21" s="105"/>
      <c r="F21" s="105" t="s">
        <v>91</v>
      </c>
      <c r="G21" s="105"/>
      <c r="H21" s="105"/>
      <c r="I21" s="105"/>
      <c r="J21" s="105"/>
      <c r="K21" s="105"/>
      <c r="L21" s="105"/>
      <c r="M21" s="105" t="s">
        <v>36</v>
      </c>
      <c r="N21" s="105"/>
      <c r="O21" s="105"/>
      <c r="P21" s="105"/>
      <c r="S21" s="27" t="s">
        <v>84</v>
      </c>
      <c r="T21" s="72"/>
      <c r="U21" s="79"/>
      <c r="V21" s="88"/>
      <c r="W21" s="89"/>
      <c r="X21" s="90"/>
      <c r="Y21" s="83" t="str">
        <f t="shared" si="0"/>
        <v>-</v>
      </c>
      <c r="Z21" s="27" t="str">
        <f>IFERROR(Y21/4,"")</f>
        <v/>
      </c>
      <c r="AA21" s="84">
        <f t="shared" si="2"/>
        <v>0</v>
      </c>
      <c r="AB21" s="74" t="str">
        <f t="shared" si="3"/>
        <v/>
      </c>
      <c r="AC21" s="74" t="str">
        <f>AB22</f>
        <v>Pertama</v>
      </c>
      <c r="AD21" s="27" t="s">
        <v>79</v>
      </c>
      <c r="AE21" s="27">
        <f>IF(AND(AB21="",ISTEXT(AB22)),1,0)</f>
        <v>1</v>
      </c>
    </row>
    <row r="22" spans="1:31" s="18" customFormat="1" ht="15.75" customHeight="1" x14ac:dyDescent="0.35">
      <c r="A22" s="106">
        <v>1</v>
      </c>
      <c r="B22" s="106"/>
      <c r="C22" s="106"/>
      <c r="D22" s="106"/>
      <c r="E22" s="106"/>
      <c r="F22" s="106">
        <v>2</v>
      </c>
      <c r="G22" s="106"/>
      <c r="H22" s="106"/>
      <c r="I22" s="106"/>
      <c r="J22" s="106">
        <v>3</v>
      </c>
      <c r="K22" s="106"/>
      <c r="L22" s="106"/>
      <c r="M22" s="106">
        <v>4</v>
      </c>
      <c r="N22" s="106"/>
      <c r="O22" s="106"/>
      <c r="P22" s="106"/>
      <c r="S22" s="27" t="s">
        <v>79</v>
      </c>
      <c r="T22" s="72" t="s">
        <v>111</v>
      </c>
      <c r="U22" s="79"/>
      <c r="V22" s="91">
        <v>0</v>
      </c>
      <c r="W22" s="92" t="s">
        <v>23</v>
      </c>
      <c r="X22" s="93">
        <v>50</v>
      </c>
      <c r="Y22" s="83">
        <f t="shared" si="0"/>
        <v>50</v>
      </c>
      <c r="Z22" s="27">
        <f t="shared" ref="Z22:Z30" si="7">IFERROR(Y22/4,"")</f>
        <v>12.5</v>
      </c>
      <c r="AA22" s="84">
        <f t="shared" si="2"/>
        <v>100</v>
      </c>
      <c r="AB22" s="74" t="str">
        <f t="shared" si="3"/>
        <v>Pertama</v>
      </c>
      <c r="AC22" s="74" t="str">
        <f t="shared" ref="AC22:AC28" si="8">AB23</f>
        <v/>
      </c>
      <c r="AD22" s="27" t="s">
        <v>122</v>
      </c>
      <c r="AE22" s="27">
        <f t="shared" ref="AE22:AE29" si="9">IF(AND(AB22="",ISTEXT(AB23)),1,0)</f>
        <v>0</v>
      </c>
    </row>
    <row r="23" spans="1:31" s="18" customFormat="1" ht="50.25" customHeight="1" x14ac:dyDescent="0.35">
      <c r="A23" s="209" t="s">
        <v>68</v>
      </c>
      <c r="B23" s="209"/>
      <c r="C23" s="209"/>
      <c r="D23" s="209"/>
      <c r="E23" s="209"/>
      <c r="F23" s="107">
        <f>VLOOKUP(A23,$S$10:$T$14,2,FALSE)</f>
        <v>1</v>
      </c>
      <c r="G23" s="107"/>
      <c r="H23" s="107"/>
      <c r="I23" s="107"/>
      <c r="J23" s="105">
        <f>VLOOKUP(I16,$T$18:$AD$30,7,FALSE)</f>
        <v>25</v>
      </c>
      <c r="K23" s="105"/>
      <c r="L23" s="105"/>
      <c r="M23" s="105">
        <f>F23*J23</f>
        <v>25</v>
      </c>
      <c r="N23" s="105"/>
      <c r="O23" s="105"/>
      <c r="P23" s="105"/>
      <c r="S23" s="27" t="s">
        <v>122</v>
      </c>
      <c r="T23" s="72"/>
      <c r="U23" s="79"/>
      <c r="V23" s="91">
        <v>50</v>
      </c>
      <c r="W23" s="92" t="s">
        <v>23</v>
      </c>
      <c r="X23" s="94">
        <v>100</v>
      </c>
      <c r="Y23" s="83">
        <f t="shared" si="0"/>
        <v>50</v>
      </c>
      <c r="Z23" s="27">
        <f t="shared" si="7"/>
        <v>12.5</v>
      </c>
      <c r="AA23" s="84">
        <f t="shared" si="2"/>
        <v>100</v>
      </c>
      <c r="AB23" s="74" t="str">
        <f t="shared" si="3"/>
        <v/>
      </c>
      <c r="AC23" s="74" t="str">
        <f t="shared" si="8"/>
        <v>Muda</v>
      </c>
      <c r="AD23" s="27" t="s">
        <v>80</v>
      </c>
      <c r="AE23" s="27">
        <f t="shared" si="9"/>
        <v>1</v>
      </c>
    </row>
    <row r="24" spans="1:31" x14ac:dyDescent="0.35">
      <c r="R24" s="18"/>
      <c r="S24" s="27" t="s">
        <v>80</v>
      </c>
      <c r="T24" s="72" t="s">
        <v>112</v>
      </c>
      <c r="U24" s="79"/>
      <c r="V24" s="91">
        <v>0</v>
      </c>
      <c r="W24" s="92" t="s">
        <v>23</v>
      </c>
      <c r="X24" s="94">
        <v>100</v>
      </c>
      <c r="Y24" s="83">
        <f t="shared" si="0"/>
        <v>100</v>
      </c>
      <c r="Z24" s="27">
        <f t="shared" si="7"/>
        <v>25</v>
      </c>
      <c r="AA24" s="84">
        <f t="shared" si="2"/>
        <v>200</v>
      </c>
      <c r="AB24" s="74" t="str">
        <f t="shared" si="3"/>
        <v>Muda</v>
      </c>
      <c r="AC24" s="74" t="str">
        <f t="shared" si="8"/>
        <v/>
      </c>
      <c r="AD24" s="27" t="s">
        <v>83</v>
      </c>
      <c r="AE24" s="27">
        <f t="shared" si="9"/>
        <v>0</v>
      </c>
    </row>
    <row r="25" spans="1:31" x14ac:dyDescent="0.35">
      <c r="L25" s="14" t="s">
        <v>93</v>
      </c>
      <c r="M25" s="15" t="s">
        <v>3</v>
      </c>
      <c r="N25" s="15" t="s">
        <v>92</v>
      </c>
      <c r="O25" s="15"/>
      <c r="P25" s="15"/>
      <c r="R25" s="18"/>
      <c r="S25" s="27" t="s">
        <v>83</v>
      </c>
      <c r="T25" s="72"/>
      <c r="U25" s="79"/>
      <c r="V25" s="91">
        <v>100</v>
      </c>
      <c r="W25" s="92" t="s">
        <v>23</v>
      </c>
      <c r="X25" s="94">
        <v>200</v>
      </c>
      <c r="Y25" s="83">
        <f t="shared" si="0"/>
        <v>100</v>
      </c>
      <c r="Z25" s="27">
        <f t="shared" si="7"/>
        <v>25</v>
      </c>
      <c r="AA25" s="84">
        <f t="shared" si="2"/>
        <v>200</v>
      </c>
      <c r="AB25" s="74" t="str">
        <f t="shared" si="3"/>
        <v/>
      </c>
      <c r="AC25" s="74" t="str">
        <f t="shared" si="8"/>
        <v>Madya</v>
      </c>
      <c r="AD25" s="27" t="s">
        <v>81</v>
      </c>
      <c r="AE25" s="27">
        <f t="shared" si="9"/>
        <v>1</v>
      </c>
    </row>
    <row r="26" spans="1:31" x14ac:dyDescent="0.35">
      <c r="L26" s="14" t="s">
        <v>94</v>
      </c>
      <c r="M26" s="15" t="s">
        <v>3</v>
      </c>
      <c r="N26" s="208">
        <v>45295</v>
      </c>
      <c r="O26" s="208"/>
      <c r="P26" s="208"/>
      <c r="R26" s="18"/>
      <c r="S26" s="27" t="s">
        <v>81</v>
      </c>
      <c r="T26" s="72" t="s">
        <v>113</v>
      </c>
      <c r="U26" s="79"/>
      <c r="V26" s="91">
        <v>0</v>
      </c>
      <c r="W26" s="92" t="s">
        <v>23</v>
      </c>
      <c r="X26" s="94">
        <v>150</v>
      </c>
      <c r="Y26" s="83">
        <f t="shared" si="0"/>
        <v>150</v>
      </c>
      <c r="Z26" s="27">
        <f t="shared" si="7"/>
        <v>37.5</v>
      </c>
      <c r="AA26" s="84" t="str">
        <f t="shared" si="2"/>
        <v>-</v>
      </c>
      <c r="AB26" s="74" t="str">
        <f t="shared" si="3"/>
        <v>Madya</v>
      </c>
      <c r="AC26" s="74" t="str">
        <f t="shared" si="8"/>
        <v/>
      </c>
      <c r="AD26" s="27" t="s">
        <v>82</v>
      </c>
      <c r="AE26" s="27">
        <f t="shared" si="9"/>
        <v>0</v>
      </c>
    </row>
    <row r="27" spans="1:31" x14ac:dyDescent="0.35">
      <c r="L27" s="14" t="s">
        <v>37</v>
      </c>
      <c r="M27" s="15"/>
      <c r="N27" s="15"/>
      <c r="O27" s="15"/>
      <c r="P27" s="15"/>
      <c r="R27" s="18"/>
      <c r="S27" s="27" t="s">
        <v>82</v>
      </c>
      <c r="T27" s="72"/>
      <c r="U27" s="79"/>
      <c r="V27" s="91">
        <v>150</v>
      </c>
      <c r="W27" s="92" t="s">
        <v>23</v>
      </c>
      <c r="X27" s="94">
        <v>300</v>
      </c>
      <c r="Y27" s="83">
        <f t="shared" si="0"/>
        <v>150</v>
      </c>
      <c r="Z27" s="27">
        <f t="shared" si="7"/>
        <v>37.5</v>
      </c>
      <c r="AA27" s="84" t="str">
        <f t="shared" si="2"/>
        <v>-</v>
      </c>
      <c r="AB27" s="74" t="str">
        <f t="shared" si="3"/>
        <v/>
      </c>
      <c r="AC27" s="74" t="str">
        <f t="shared" si="8"/>
        <v/>
      </c>
      <c r="AD27" s="27" t="s">
        <v>86</v>
      </c>
      <c r="AE27" s="27">
        <f t="shared" si="9"/>
        <v>1</v>
      </c>
    </row>
    <row r="28" spans="1:31" ht="45" customHeight="1" x14ac:dyDescent="0.35">
      <c r="L28" s="14"/>
      <c r="M28" s="15"/>
      <c r="N28" s="15"/>
      <c r="O28" s="15"/>
      <c r="P28" s="15"/>
      <c r="R28" s="18"/>
      <c r="S28" s="27" t="s">
        <v>86</v>
      </c>
      <c r="T28" s="72"/>
      <c r="U28" s="79"/>
      <c r="V28" s="91">
        <v>300</v>
      </c>
      <c r="W28" s="92" t="s">
        <v>23</v>
      </c>
      <c r="X28" s="93"/>
      <c r="Y28" s="83" t="str">
        <f>IFERROR(IF(OR(V28="",X28=""),"-",X28-V28),"-")</f>
        <v>-</v>
      </c>
      <c r="Z28" s="27" t="str">
        <f t="shared" si="7"/>
        <v/>
      </c>
      <c r="AA28" s="84" t="str">
        <f t="shared" si="2"/>
        <v>-</v>
      </c>
      <c r="AB28" s="74" t="str">
        <f t="shared" si="3"/>
        <v/>
      </c>
      <c r="AC28" s="74" t="str">
        <f t="shared" si="8"/>
        <v>Utama</v>
      </c>
      <c r="AD28" s="27" t="s">
        <v>87</v>
      </c>
      <c r="AE28" s="27">
        <f t="shared" si="9"/>
        <v>1</v>
      </c>
    </row>
    <row r="29" spans="1:31" x14ac:dyDescent="0.35">
      <c r="L29" s="35" t="s">
        <v>115</v>
      </c>
      <c r="M29" s="15"/>
      <c r="N29" s="15"/>
      <c r="O29" s="15"/>
      <c r="P29" s="15"/>
      <c r="R29" s="18"/>
      <c r="S29" s="27" t="s">
        <v>87</v>
      </c>
      <c r="T29" s="72"/>
      <c r="U29" s="79"/>
      <c r="V29" s="95"/>
      <c r="W29" s="96"/>
      <c r="X29" s="97"/>
      <c r="Y29" s="83" t="str">
        <f t="shared" ref="Y29:Y30" si="10">IFERROR(IF(OR(V29="",X29=""),"-",X29-V29),"-")</f>
        <v>-</v>
      </c>
      <c r="Z29" s="27" t="str">
        <f t="shared" si="7"/>
        <v/>
      </c>
      <c r="AA29" s="84" t="str">
        <f t="shared" si="2"/>
        <v>-</v>
      </c>
      <c r="AB29" s="74" t="s">
        <v>129</v>
      </c>
      <c r="AC29" s="74"/>
      <c r="AD29" s="27" t="s">
        <v>88</v>
      </c>
      <c r="AE29" s="27">
        <f t="shared" si="9"/>
        <v>0</v>
      </c>
    </row>
    <row r="30" spans="1:31" x14ac:dyDescent="0.35">
      <c r="L30" s="14" t="s">
        <v>114</v>
      </c>
      <c r="M30" s="15"/>
      <c r="N30" s="15"/>
      <c r="O30" s="15"/>
      <c r="P30" s="15"/>
      <c r="S30" s="28" t="s">
        <v>88</v>
      </c>
      <c r="T30" s="73"/>
      <c r="U30" s="80"/>
      <c r="V30" s="98"/>
      <c r="W30" s="99"/>
      <c r="X30" s="100"/>
      <c r="Y30" s="101" t="str">
        <f t="shared" si="10"/>
        <v>-</v>
      </c>
      <c r="Z30" s="103" t="str">
        <f t="shared" si="7"/>
        <v/>
      </c>
      <c r="AA30" s="102" t="s">
        <v>23</v>
      </c>
      <c r="AB30" s="75" t="str">
        <f t="shared" si="3"/>
        <v/>
      </c>
      <c r="AC30" s="75" t="str">
        <f>IF(AB31="",AB30,AB31)</f>
        <v/>
      </c>
      <c r="AD30" s="76" t="s">
        <v>23</v>
      </c>
      <c r="AE30" s="222"/>
    </row>
    <row r="31" spans="1:31" x14ac:dyDescent="0.35">
      <c r="A31" s="15" t="s">
        <v>27</v>
      </c>
    </row>
    <row r="32" spans="1:31" x14ac:dyDescent="0.35">
      <c r="A32" s="13" t="s">
        <v>15</v>
      </c>
      <c r="B32" s="12" t="s">
        <v>103</v>
      </c>
    </row>
    <row r="33" spans="1:20" x14ac:dyDescent="0.35">
      <c r="A33" s="13" t="s">
        <v>17</v>
      </c>
      <c r="B33" s="12" t="s">
        <v>104</v>
      </c>
    </row>
    <row r="34" spans="1:20" x14ac:dyDescent="0.35">
      <c r="A34" s="13" t="s">
        <v>18</v>
      </c>
      <c r="B34" s="12" t="s">
        <v>119</v>
      </c>
    </row>
    <row r="35" spans="1:20" x14ac:dyDescent="0.35">
      <c r="A35" s="13" t="s">
        <v>19</v>
      </c>
      <c r="B35" s="12" t="str">
        <f>IF(OR(I14="Laki-Laki",I14="Pria"),"Sdr.","Sdri.")&amp;" "&amp;I10&amp;";"</f>
        <v>Sdr. Ada Martabat, ST, MT;</v>
      </c>
    </row>
    <row r="36" spans="1:20" x14ac:dyDescent="0.35">
      <c r="A36" s="55" t="s">
        <v>21</v>
      </c>
      <c r="B36" s="12" t="s">
        <v>106</v>
      </c>
    </row>
    <row r="39" spans="1:20" s="18" customFormat="1" ht="15.75" customHeight="1" x14ac:dyDescent="0.35">
      <c r="A39" s="162" t="s">
        <v>46</v>
      </c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S39" s="12"/>
      <c r="T39" s="12"/>
    </row>
    <row r="40" spans="1:20" s="18" customFormat="1" ht="15.75" customHeight="1" x14ac:dyDescent="0.35">
      <c r="A40" s="162" t="s">
        <v>97</v>
      </c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S40" s="12"/>
      <c r="T40" s="12"/>
    </row>
    <row r="41" spans="1:20" s="18" customFormat="1" ht="23.25" customHeight="1" x14ac:dyDescent="0.35">
      <c r="S41" s="12"/>
      <c r="T41" s="12"/>
    </row>
    <row r="42" spans="1:20" s="18" customFormat="1" ht="23.25" customHeight="1" x14ac:dyDescent="0.35">
      <c r="A42" s="18" t="s">
        <v>30</v>
      </c>
      <c r="C42" s="18" t="s">
        <v>3</v>
      </c>
      <c r="D42" s="18" t="str">
        <f>D8</f>
        <v>Sekretariat Daerah Provinsi NTB</v>
      </c>
      <c r="P42" s="36" t="str">
        <f>PAK!P8</f>
        <v>Periode : Januari s.d Desember 2023</v>
      </c>
      <c r="S42" s="12"/>
      <c r="T42" s="12"/>
    </row>
    <row r="43" spans="1:20" s="18" customFormat="1" ht="23.25" customHeight="1" x14ac:dyDescent="0.35">
      <c r="A43" s="23" t="s">
        <v>1</v>
      </c>
      <c r="B43" s="217" t="s">
        <v>2</v>
      </c>
      <c r="C43" s="217"/>
      <c r="D43" s="217"/>
      <c r="E43" s="217"/>
      <c r="F43" s="217"/>
      <c r="G43" s="217"/>
      <c r="H43" s="217"/>
      <c r="I43" s="217"/>
      <c r="J43" s="217"/>
      <c r="K43" s="217"/>
      <c r="L43" s="217"/>
      <c r="M43" s="217"/>
      <c r="N43" s="217"/>
      <c r="O43" s="217"/>
      <c r="P43" s="218"/>
      <c r="S43" s="30"/>
      <c r="T43" s="31"/>
    </row>
    <row r="44" spans="1:20" s="18" customFormat="1" ht="23.25" customHeight="1" x14ac:dyDescent="0.35">
      <c r="A44" s="19"/>
      <c r="B44" s="21">
        <v>1</v>
      </c>
      <c r="C44" s="20" t="s">
        <v>38</v>
      </c>
      <c r="D44" s="20"/>
      <c r="E44" s="20"/>
      <c r="F44" s="20"/>
      <c r="G44" s="20"/>
      <c r="H44" s="20" t="s">
        <v>3</v>
      </c>
      <c r="I44" s="20" t="str">
        <f>PAK!I10</f>
        <v>Ada Martabat, ST, MT</v>
      </c>
      <c r="J44" s="20"/>
      <c r="K44" s="20"/>
      <c r="L44" s="20"/>
      <c r="M44" s="20"/>
      <c r="N44" s="20"/>
      <c r="O44" s="20"/>
      <c r="P44" s="22"/>
      <c r="T44" s="71"/>
    </row>
    <row r="45" spans="1:20" s="18" customFormat="1" ht="23.25" customHeight="1" x14ac:dyDescent="0.35">
      <c r="A45" s="19"/>
      <c r="B45" s="21">
        <v>2</v>
      </c>
      <c r="C45" s="20" t="s">
        <v>4</v>
      </c>
      <c r="D45" s="20"/>
      <c r="E45" s="20"/>
      <c r="F45" s="20"/>
      <c r="G45" s="20"/>
      <c r="H45" s="20" t="s">
        <v>3</v>
      </c>
      <c r="I45" s="20" t="str">
        <f>PAK!I11</f>
        <v>20001232 201501 1 007</v>
      </c>
      <c r="J45" s="20"/>
      <c r="K45" s="20"/>
      <c r="L45" s="20"/>
      <c r="M45" s="20"/>
      <c r="N45" s="20"/>
      <c r="O45" s="20"/>
      <c r="P45" s="22"/>
      <c r="T45" s="71"/>
    </row>
    <row r="46" spans="1:20" s="18" customFormat="1" ht="23.25" customHeight="1" x14ac:dyDescent="0.35">
      <c r="A46" s="19"/>
      <c r="B46" s="21">
        <v>3</v>
      </c>
      <c r="C46" s="20" t="s">
        <v>39</v>
      </c>
      <c r="D46" s="20"/>
      <c r="E46" s="20"/>
      <c r="F46" s="20"/>
      <c r="G46" s="20"/>
      <c r="H46" s="20" t="s">
        <v>3</v>
      </c>
      <c r="I46" s="20" t="str">
        <f>PAK!I12</f>
        <v>G 123456</v>
      </c>
      <c r="J46" s="20"/>
      <c r="K46" s="20"/>
      <c r="L46" s="20"/>
      <c r="M46" s="20"/>
      <c r="N46" s="20"/>
      <c r="O46" s="20"/>
      <c r="P46" s="22"/>
      <c r="T46" s="71"/>
    </row>
    <row r="47" spans="1:20" s="18" customFormat="1" ht="23.25" customHeight="1" x14ac:dyDescent="0.35">
      <c r="A47" s="19"/>
      <c r="B47" s="21">
        <v>4</v>
      </c>
      <c r="C47" s="20" t="s">
        <v>40</v>
      </c>
      <c r="D47" s="20"/>
      <c r="E47" s="20"/>
      <c r="F47" s="20"/>
      <c r="G47" s="20"/>
      <c r="H47" s="20" t="s">
        <v>3</v>
      </c>
      <c r="I47" s="20" t="str">
        <f>PAK!I13</f>
        <v>Hogmeade, 32 Desember 2000</v>
      </c>
      <c r="J47" s="20"/>
      <c r="K47" s="20"/>
      <c r="L47" s="20"/>
      <c r="M47" s="20"/>
      <c r="N47" s="20"/>
      <c r="O47" s="20"/>
      <c r="P47" s="22"/>
      <c r="T47" s="71"/>
    </row>
    <row r="48" spans="1:20" s="18" customFormat="1" ht="23.25" customHeight="1" x14ac:dyDescent="0.35">
      <c r="A48" s="19"/>
      <c r="B48" s="21">
        <v>5</v>
      </c>
      <c r="C48" s="20" t="s">
        <v>7</v>
      </c>
      <c r="D48" s="20"/>
      <c r="E48" s="20"/>
      <c r="F48" s="20"/>
      <c r="G48" s="20"/>
      <c r="H48" s="20" t="s">
        <v>3</v>
      </c>
      <c r="I48" s="20" t="str">
        <f>PAK!I14</f>
        <v>Laki-Laki</v>
      </c>
      <c r="J48" s="20"/>
      <c r="K48" s="20"/>
      <c r="L48" s="20"/>
      <c r="M48" s="20"/>
      <c r="N48" s="20"/>
      <c r="O48" s="20"/>
      <c r="P48" s="22"/>
      <c r="T48" s="71"/>
    </row>
    <row r="49" spans="1:20" s="18" customFormat="1" ht="23.25" customHeight="1" x14ac:dyDescent="0.35">
      <c r="A49" s="19"/>
      <c r="B49" s="21">
        <v>6</v>
      </c>
      <c r="C49" s="20" t="s">
        <v>41</v>
      </c>
      <c r="D49" s="20"/>
      <c r="E49" s="20"/>
      <c r="F49" s="20"/>
      <c r="G49" s="20"/>
      <c r="H49" s="20" t="s">
        <v>3</v>
      </c>
      <c r="I49" s="20" t="str">
        <f>PAK!I15</f>
        <v>Penata (III/c)</v>
      </c>
      <c r="J49" s="20"/>
      <c r="K49" s="29"/>
      <c r="L49" s="20"/>
      <c r="M49" s="29"/>
      <c r="N49" s="29"/>
      <c r="O49" s="29" t="s">
        <v>89</v>
      </c>
      <c r="P49" s="32">
        <f>PAK!P15</f>
        <v>45200</v>
      </c>
      <c r="S49" s="61"/>
      <c r="T49" s="61"/>
    </row>
    <row r="50" spans="1:20" s="18" customFormat="1" ht="23.25" customHeight="1" x14ac:dyDescent="0.35">
      <c r="A50" s="19"/>
      <c r="B50" s="21">
        <v>7</v>
      </c>
      <c r="C50" s="20" t="s">
        <v>42</v>
      </c>
      <c r="D50" s="20"/>
      <c r="E50" s="20"/>
      <c r="F50" s="20"/>
      <c r="G50" s="20"/>
      <c r="H50" s="20" t="s">
        <v>3</v>
      </c>
      <c r="I50" s="156" t="str">
        <f>PAK!I16</f>
        <v>Pengelola Sesuatu Ahli Muda</v>
      </c>
      <c r="J50" s="156"/>
      <c r="K50" s="156"/>
      <c r="L50" s="156"/>
      <c r="M50" s="156"/>
      <c r="N50" s="20"/>
      <c r="O50" s="29" t="s">
        <v>89</v>
      </c>
      <c r="P50" s="32">
        <f>PAK!P16</f>
        <v>43943</v>
      </c>
      <c r="S50" s="30"/>
      <c r="T50" s="31"/>
    </row>
    <row r="51" spans="1:20" s="18" customFormat="1" ht="23.25" customHeight="1" x14ac:dyDescent="0.35">
      <c r="A51" s="19"/>
      <c r="B51" s="21">
        <v>8</v>
      </c>
      <c r="C51" s="20" t="s">
        <v>9</v>
      </c>
      <c r="D51" s="20"/>
      <c r="E51" s="20"/>
      <c r="F51" s="20"/>
      <c r="G51" s="20"/>
      <c r="H51" s="20" t="s">
        <v>3</v>
      </c>
      <c r="I51" s="156" t="str">
        <f>PAK!I17</f>
        <v>Kantor Pembuat Formulir</v>
      </c>
      <c r="J51" s="156"/>
      <c r="K51" s="156"/>
      <c r="L51" s="156"/>
      <c r="M51" s="156"/>
      <c r="N51" s="156"/>
      <c r="O51" s="156"/>
      <c r="P51" s="168"/>
    </row>
    <row r="52" spans="1:20" s="18" customFormat="1" ht="23.25" customHeight="1" x14ac:dyDescent="0.35">
      <c r="A52" s="19"/>
      <c r="B52" s="21">
        <v>9</v>
      </c>
      <c r="C52" s="20" t="s">
        <v>30</v>
      </c>
      <c r="D52" s="20"/>
      <c r="E52" s="20"/>
      <c r="F52" s="20"/>
      <c r="G52" s="20"/>
      <c r="H52" s="20" t="s">
        <v>3</v>
      </c>
      <c r="I52" s="156" t="str">
        <f>PAK!I18</f>
        <v>Sekretariat Daerah Provinsi NTB</v>
      </c>
      <c r="J52" s="156"/>
      <c r="K52" s="156"/>
      <c r="L52" s="156"/>
      <c r="M52" s="156"/>
      <c r="N52" s="156"/>
      <c r="O52" s="156"/>
      <c r="P52" s="168"/>
    </row>
    <row r="53" spans="1:20" s="18" customFormat="1" ht="23.25" customHeight="1" x14ac:dyDescent="0.35">
      <c r="A53" s="16" t="s">
        <v>10</v>
      </c>
      <c r="B53" s="153" t="s">
        <v>47</v>
      </c>
      <c r="C53" s="153"/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  <c r="P53" s="154"/>
    </row>
    <row r="54" spans="1:20" s="18" customFormat="1" ht="23.25" customHeight="1" x14ac:dyDescent="0.35">
      <c r="A54" s="105" t="s">
        <v>48</v>
      </c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71" t="s">
        <v>52</v>
      </c>
      <c r="M54" s="174" t="s">
        <v>53</v>
      </c>
      <c r="N54" s="175"/>
      <c r="O54" s="175"/>
      <c r="P54" s="176"/>
    </row>
    <row r="55" spans="1:20" s="18" customFormat="1" ht="16.5" customHeight="1" x14ac:dyDescent="0.35">
      <c r="A55" s="105" t="s">
        <v>49</v>
      </c>
      <c r="B55" s="105"/>
      <c r="C55" s="105"/>
      <c r="D55" s="105"/>
      <c r="E55" s="137" t="s">
        <v>50</v>
      </c>
      <c r="F55" s="139"/>
      <c r="G55" s="137" t="s">
        <v>33</v>
      </c>
      <c r="H55" s="138"/>
      <c r="I55" s="139"/>
      <c r="J55" s="105" t="s">
        <v>91</v>
      </c>
      <c r="K55" s="105"/>
      <c r="L55" s="172"/>
      <c r="M55" s="177"/>
      <c r="N55" s="178"/>
      <c r="O55" s="178"/>
      <c r="P55" s="179"/>
      <c r="S55" s="30"/>
      <c r="T55" s="31"/>
    </row>
    <row r="56" spans="1:20" s="18" customFormat="1" ht="16.5" customHeight="1" x14ac:dyDescent="0.35">
      <c r="A56" s="105"/>
      <c r="B56" s="105"/>
      <c r="C56" s="105"/>
      <c r="D56" s="105"/>
      <c r="E56" s="140" t="s">
        <v>51</v>
      </c>
      <c r="F56" s="142"/>
      <c r="G56" s="140"/>
      <c r="H56" s="141"/>
      <c r="I56" s="142"/>
      <c r="J56" s="105"/>
      <c r="K56" s="105"/>
      <c r="L56" s="173"/>
      <c r="M56" s="180"/>
      <c r="N56" s="181"/>
      <c r="O56" s="181"/>
      <c r="P56" s="182"/>
    </row>
    <row r="57" spans="1:20" s="18" customFormat="1" ht="17.25" customHeight="1" x14ac:dyDescent="0.35">
      <c r="A57" s="106">
        <v>1</v>
      </c>
      <c r="B57" s="106"/>
      <c r="C57" s="106"/>
      <c r="D57" s="106"/>
      <c r="E57" s="143">
        <v>2</v>
      </c>
      <c r="F57" s="145"/>
      <c r="G57" s="143">
        <v>3</v>
      </c>
      <c r="H57" s="144"/>
      <c r="I57" s="145"/>
      <c r="J57" s="106">
        <v>4</v>
      </c>
      <c r="K57" s="106"/>
      <c r="L57" s="58">
        <v>5</v>
      </c>
      <c r="M57" s="143">
        <v>6</v>
      </c>
      <c r="N57" s="144"/>
      <c r="O57" s="144"/>
      <c r="P57" s="145"/>
    </row>
    <row r="58" spans="1:20" s="18" customFormat="1" ht="31.5" customHeight="1" x14ac:dyDescent="0.35">
      <c r="A58" s="105">
        <v>2022</v>
      </c>
      <c r="B58" s="105"/>
      <c r="C58" s="105"/>
      <c r="D58" s="105"/>
      <c r="E58" s="146" t="s">
        <v>73</v>
      </c>
      <c r="F58" s="148"/>
      <c r="G58" s="146" t="s">
        <v>23</v>
      </c>
      <c r="H58" s="147"/>
      <c r="I58" s="148"/>
      <c r="J58" s="107" t="str">
        <f>IFERROR(IF(A58=0,"",VLOOKUP(G58,$S$10:$T$15,2,FALSE)),"")</f>
        <v>-</v>
      </c>
      <c r="K58" s="105"/>
      <c r="L58" s="57">
        <f>J23</f>
        <v>25</v>
      </c>
      <c r="M58" s="183">
        <v>112.33</v>
      </c>
      <c r="N58" s="184"/>
      <c r="O58" s="184"/>
      <c r="P58" s="185"/>
      <c r="S58" s="44" t="s">
        <v>128</v>
      </c>
    </row>
    <row r="59" spans="1:20" s="18" customFormat="1" ht="31.5" customHeight="1" x14ac:dyDescent="0.35">
      <c r="A59" s="105">
        <v>2023</v>
      </c>
      <c r="B59" s="105"/>
      <c r="C59" s="105"/>
      <c r="D59" s="105"/>
      <c r="E59" s="146" t="s">
        <v>72</v>
      </c>
      <c r="F59" s="148"/>
      <c r="G59" s="146" t="str">
        <f>PAK!A23</f>
        <v>Baik</v>
      </c>
      <c r="H59" s="147"/>
      <c r="I59" s="148"/>
      <c r="J59" s="107">
        <f>IFERROR(IF(A59=0,"",VLOOKUP(G59,$S$10:$T$15,2,FALSE)),"")</f>
        <v>1</v>
      </c>
      <c r="K59" s="105"/>
      <c r="L59" s="57">
        <f>IF(A59=0,"",L58)</f>
        <v>25</v>
      </c>
      <c r="M59" s="183">
        <f>IFERROR(J59*L59,"")</f>
        <v>25</v>
      </c>
      <c r="N59" s="184"/>
      <c r="O59" s="184"/>
      <c r="P59" s="185"/>
      <c r="S59" s="44" t="s">
        <v>117</v>
      </c>
      <c r="T59" s="12"/>
    </row>
    <row r="60" spans="1:20" s="18" customFormat="1" ht="31.5" customHeight="1" x14ac:dyDescent="0.35">
      <c r="A60" s="105"/>
      <c r="B60" s="105"/>
      <c r="C60" s="105"/>
      <c r="D60" s="105"/>
      <c r="E60" s="149"/>
      <c r="F60" s="151"/>
      <c r="G60" s="146"/>
      <c r="H60" s="147"/>
      <c r="I60" s="148"/>
      <c r="J60" s="107" t="str">
        <f>IFERROR(IF(A60=0,"",VLOOKUP(G60,$S$10:$T$15,2,FALSE)),"")</f>
        <v/>
      </c>
      <c r="K60" s="105"/>
      <c r="L60" s="57" t="str">
        <f t="shared" ref="L60:L61" si="11">IF(A60=0,"",L59)</f>
        <v/>
      </c>
      <c r="M60" s="183" t="str">
        <f>IFERROR(J60*L60,"")</f>
        <v/>
      </c>
      <c r="N60" s="184"/>
      <c r="O60" s="184"/>
      <c r="P60" s="185"/>
      <c r="S60" s="44" t="s">
        <v>117</v>
      </c>
      <c r="T60" s="12"/>
    </row>
    <row r="61" spans="1:20" s="18" customFormat="1" ht="31.5" customHeight="1" x14ac:dyDescent="0.35">
      <c r="A61" s="105"/>
      <c r="B61" s="105"/>
      <c r="C61" s="105"/>
      <c r="D61" s="105"/>
      <c r="E61" s="149"/>
      <c r="F61" s="151"/>
      <c r="G61" s="146"/>
      <c r="H61" s="147"/>
      <c r="I61" s="148"/>
      <c r="J61" s="107" t="str">
        <f>IFERROR(IF(A61=0,"",VLOOKUP(G61,$S$10:$T$15,2,FALSE)),"")</f>
        <v/>
      </c>
      <c r="K61" s="105"/>
      <c r="L61" s="57" t="str">
        <f t="shared" si="11"/>
        <v/>
      </c>
      <c r="M61" s="183" t="str">
        <f>IFERROR(J61*L61,"")</f>
        <v/>
      </c>
      <c r="N61" s="184"/>
      <c r="O61" s="184"/>
      <c r="P61" s="185"/>
      <c r="S61" s="44" t="s">
        <v>117</v>
      </c>
    </row>
    <row r="62" spans="1:20" s="18" customFormat="1" ht="23.25" customHeight="1" x14ac:dyDescent="0.35">
      <c r="A62" s="149" t="s">
        <v>54</v>
      </c>
      <c r="B62" s="150"/>
      <c r="C62" s="150"/>
      <c r="D62" s="150"/>
      <c r="E62" s="150"/>
      <c r="F62" s="150"/>
      <c r="G62" s="150"/>
      <c r="H62" s="150"/>
      <c r="I62" s="150"/>
      <c r="J62" s="150"/>
      <c r="K62" s="150"/>
      <c r="L62" s="151"/>
      <c r="M62" s="186">
        <f>SUM(M58:P61)</f>
        <v>137.32999999999998</v>
      </c>
      <c r="N62" s="187"/>
      <c r="O62" s="187"/>
      <c r="P62" s="188"/>
    </row>
    <row r="63" spans="1:20" s="18" customFormat="1" x14ac:dyDescent="0.35">
      <c r="S63" s="12"/>
      <c r="T63" s="12"/>
    </row>
    <row r="64" spans="1:20" s="18" customFormat="1" x14ac:dyDescent="0.35">
      <c r="S64" s="12"/>
      <c r="T64" s="12"/>
    </row>
    <row r="65" spans="1:20" s="18" customFormat="1" x14ac:dyDescent="0.3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4" t="str">
        <f>PAK!L25</f>
        <v>Ditetapkan di</v>
      </c>
      <c r="M65" s="14" t="s">
        <v>3</v>
      </c>
      <c r="N65" s="14" t="str">
        <f>PAK!N25</f>
        <v>Mataram</v>
      </c>
      <c r="O65" s="14"/>
      <c r="P65" s="14"/>
      <c r="Q65" s="14"/>
      <c r="R65" s="14"/>
    </row>
    <row r="66" spans="1:20" s="18" customFormat="1" x14ac:dyDescent="0.3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4" t="str">
        <f>PAK!L26</f>
        <v>Pada tanggal</v>
      </c>
      <c r="M66" s="14" t="s">
        <v>3</v>
      </c>
      <c r="N66" s="164">
        <f>PAK!N26</f>
        <v>45295</v>
      </c>
      <c r="O66" s="164"/>
      <c r="P66" s="164"/>
      <c r="Q66" s="14"/>
      <c r="R66" s="14"/>
    </row>
    <row r="67" spans="1:20" s="18" customFormat="1" x14ac:dyDescent="0.3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4" t="s">
        <v>37</v>
      </c>
      <c r="M67" s="14"/>
      <c r="N67" s="14"/>
      <c r="O67" s="14"/>
      <c r="P67" s="14"/>
      <c r="Q67" s="14"/>
      <c r="R67" s="14"/>
      <c r="S67" s="12"/>
      <c r="T67" s="12"/>
    </row>
    <row r="68" spans="1:20" s="18" customFormat="1" ht="54.75" customHeight="1" x14ac:dyDescent="0.3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4"/>
      <c r="M68" s="14"/>
      <c r="N68" s="14"/>
      <c r="O68" s="14"/>
      <c r="P68" s="14"/>
      <c r="Q68" s="14"/>
      <c r="R68" s="14"/>
      <c r="S68" s="12"/>
      <c r="T68" s="12"/>
    </row>
    <row r="69" spans="1:20" s="18" customFormat="1" x14ac:dyDescent="0.3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35" t="str">
        <f>PAK!L29</f>
        <v>Robby Del Drago, ST, SH, MT, MH, M.Eng</v>
      </c>
      <c r="M69" s="14"/>
      <c r="N69" s="14"/>
      <c r="O69" s="14"/>
      <c r="P69" s="14"/>
      <c r="Q69" s="14"/>
      <c r="R69" s="14"/>
      <c r="S69" s="12"/>
      <c r="T69" s="12"/>
    </row>
    <row r="70" spans="1:20" s="18" customFormat="1" x14ac:dyDescent="0.3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4" t="str">
        <f>PAK!L30</f>
        <v>NIP. 19700101 199001 1 001</v>
      </c>
      <c r="M70" s="14"/>
      <c r="N70" s="14"/>
      <c r="O70" s="14"/>
      <c r="P70" s="14"/>
      <c r="Q70" s="14"/>
      <c r="R70" s="14"/>
      <c r="S70" s="12"/>
      <c r="T70" s="12"/>
    </row>
    <row r="71" spans="1:20" s="18" customFormat="1" x14ac:dyDescent="0.35">
      <c r="A71" s="15" t="s">
        <v>27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s="18" customFormat="1" x14ac:dyDescent="0.35">
      <c r="A72" s="13" t="s">
        <v>15</v>
      </c>
      <c r="B72" s="12" t="str">
        <f>PAK!B32</f>
        <v>Kepala Lembaga Kebijakan Pengadaan Barang/Jasa Pemerintah Republik Indonesia;</v>
      </c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s="18" customFormat="1" x14ac:dyDescent="0.35">
      <c r="A73" s="13" t="s">
        <v>17</v>
      </c>
      <c r="B73" s="12" t="str">
        <f>PAK!B33</f>
        <v>Kepala Badan Kepegawaian Daerah Provinsi NTB;</v>
      </c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s="18" customFormat="1" x14ac:dyDescent="0.35">
      <c r="A74" s="13" t="s">
        <v>18</v>
      </c>
      <c r="B74" s="12" t="str">
        <f>PAK!B34</f>
        <v>Kepala Kantor Pembuat Formulir NTB;</v>
      </c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s="18" customFormat="1" x14ac:dyDescent="0.35">
      <c r="A75" s="13" t="s">
        <v>19</v>
      </c>
      <c r="B75" s="12" t="str">
        <f>PAK!B35</f>
        <v>Sdr. Ada Martabat, ST, MT;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s="18" customFormat="1" x14ac:dyDescent="0.35">
      <c r="A76" s="56" t="s">
        <v>21</v>
      </c>
      <c r="B76" s="12" t="str">
        <f>PAK!B36</f>
        <v>Pertinggal.</v>
      </c>
      <c r="S76" s="12"/>
      <c r="T76" s="12"/>
    </row>
    <row r="78" spans="1:20" s="1" customFormat="1" ht="12.75" x14ac:dyDescent="0.35"/>
    <row r="79" spans="1:20" s="1" customFormat="1" ht="15" x14ac:dyDescent="0.35">
      <c r="A79" s="124" t="s">
        <v>0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</row>
    <row r="80" spans="1:20" s="1" customFormat="1" ht="12.75" x14ac:dyDescent="0.35">
      <c r="A80" s="125" t="s">
        <v>96</v>
      </c>
      <c r="B80" s="125"/>
      <c r="C80" s="125"/>
      <c r="D80" s="125"/>
      <c r="E80" s="125"/>
      <c r="F80" s="125"/>
      <c r="G80" s="125"/>
      <c r="H80" s="125"/>
      <c r="I80" s="125"/>
      <c r="J80" s="125"/>
      <c r="K80" s="125"/>
      <c r="L80" s="125"/>
      <c r="M80" s="125"/>
      <c r="N80" s="125"/>
      <c r="O80" s="125"/>
      <c r="P80" s="125"/>
    </row>
    <row r="81" spans="1:29" s="1" customFormat="1" ht="15.75" customHeight="1" x14ac:dyDescent="0.35"/>
    <row r="82" spans="1:29" s="1" customFormat="1" ht="12.75" x14ac:dyDescent="0.35">
      <c r="A82" s="1" t="s">
        <v>30</v>
      </c>
      <c r="C82" s="1" t="s">
        <v>3</v>
      </c>
      <c r="D82" s="1" t="str">
        <f>D8</f>
        <v>Sekretariat Daerah Provinsi NTB</v>
      </c>
      <c r="P82" s="11" t="str">
        <f>PAK!P8</f>
        <v>Periode : Januari s.d Desember 2023</v>
      </c>
    </row>
    <row r="83" spans="1:29" s="1" customFormat="1" ht="14.25" customHeight="1" x14ac:dyDescent="0.35">
      <c r="A83" s="2" t="s">
        <v>1</v>
      </c>
      <c r="B83" s="3" t="s">
        <v>2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4"/>
    </row>
    <row r="84" spans="1:29" s="1" customFormat="1" ht="16.5" customHeight="1" x14ac:dyDescent="0.35">
      <c r="A84" s="2"/>
      <c r="B84" s="5">
        <v>1</v>
      </c>
      <c r="C84" s="3" t="s">
        <v>55</v>
      </c>
      <c r="D84" s="3"/>
      <c r="E84" s="3"/>
      <c r="F84" s="3"/>
      <c r="G84" s="3"/>
      <c r="H84" s="5" t="s">
        <v>3</v>
      </c>
      <c r="I84" s="3" t="str">
        <f>PAK!I10</f>
        <v>Ada Martabat, ST, MT</v>
      </c>
      <c r="J84" s="3"/>
      <c r="K84" s="3"/>
      <c r="L84" s="3"/>
      <c r="M84" s="3"/>
      <c r="N84" s="3"/>
      <c r="O84" s="3"/>
      <c r="P84" s="4"/>
      <c r="R84" s="40"/>
      <c r="S84" s="104"/>
    </row>
    <row r="85" spans="1:29" s="1" customFormat="1" ht="16.5" customHeight="1" x14ac:dyDescent="0.35">
      <c r="A85" s="2"/>
      <c r="B85" s="5">
        <v>2</v>
      </c>
      <c r="C85" s="3" t="s">
        <v>4</v>
      </c>
      <c r="D85" s="3"/>
      <c r="E85" s="3"/>
      <c r="F85" s="3"/>
      <c r="G85" s="3"/>
      <c r="H85" s="5" t="s">
        <v>3</v>
      </c>
      <c r="I85" s="3" t="str">
        <f>PAK!I11</f>
        <v>20001232 201501 1 007</v>
      </c>
      <c r="J85" s="3"/>
      <c r="K85" s="3"/>
      <c r="L85" s="3"/>
      <c r="M85" s="3"/>
      <c r="N85" s="3"/>
      <c r="O85" s="3"/>
      <c r="P85" s="4"/>
      <c r="S85" s="18"/>
    </row>
    <row r="86" spans="1:29" s="1" customFormat="1" ht="16.5" customHeight="1" x14ac:dyDescent="0.35">
      <c r="A86" s="2"/>
      <c r="B86" s="5">
        <v>3</v>
      </c>
      <c r="C86" s="3" t="s">
        <v>5</v>
      </c>
      <c r="D86" s="3"/>
      <c r="E86" s="3"/>
      <c r="F86" s="3"/>
      <c r="G86" s="3"/>
      <c r="H86" s="5" t="s">
        <v>3</v>
      </c>
      <c r="I86" s="3" t="str">
        <f>PAK!I12</f>
        <v>G 123456</v>
      </c>
      <c r="J86" s="3"/>
      <c r="K86" s="3"/>
      <c r="L86" s="3"/>
      <c r="M86" s="3"/>
      <c r="N86" s="3"/>
      <c r="O86" s="3"/>
      <c r="P86" s="4"/>
      <c r="S86" s="18"/>
    </row>
    <row r="87" spans="1:29" s="1" customFormat="1" ht="16.5" customHeight="1" x14ac:dyDescent="0.35">
      <c r="A87" s="2"/>
      <c r="B87" s="5">
        <v>4</v>
      </c>
      <c r="C87" s="3" t="s">
        <v>40</v>
      </c>
      <c r="D87" s="3"/>
      <c r="E87" s="3"/>
      <c r="F87" s="3"/>
      <c r="G87" s="3"/>
      <c r="H87" s="5" t="s">
        <v>3</v>
      </c>
      <c r="I87" s="3" t="str">
        <f>PAK!I13</f>
        <v>Hogmeade, 32 Desember 2000</v>
      </c>
      <c r="J87" s="3"/>
      <c r="K87" s="3"/>
      <c r="L87" s="3"/>
      <c r="M87" s="3"/>
      <c r="N87" s="3"/>
      <c r="O87" s="3"/>
      <c r="P87" s="4"/>
      <c r="T87" s="40"/>
      <c r="U87" s="82"/>
      <c r="V87" s="82"/>
      <c r="W87" s="82"/>
      <c r="X87" s="82"/>
      <c r="Y87" s="82"/>
    </row>
    <row r="88" spans="1:29" s="1" customFormat="1" ht="16.5" customHeight="1" x14ac:dyDescent="0.35">
      <c r="A88" s="2"/>
      <c r="B88" s="5">
        <v>5</v>
      </c>
      <c r="C88" s="3" t="s">
        <v>7</v>
      </c>
      <c r="D88" s="3"/>
      <c r="E88" s="3"/>
      <c r="F88" s="3"/>
      <c r="G88" s="3"/>
      <c r="H88" s="5" t="s">
        <v>3</v>
      </c>
      <c r="I88" s="3" t="str">
        <f>PAK!I14</f>
        <v>Laki-Laki</v>
      </c>
      <c r="J88" s="3"/>
      <c r="K88" s="3"/>
      <c r="L88" s="3"/>
      <c r="M88" s="3"/>
      <c r="N88" s="3"/>
      <c r="O88" s="3"/>
      <c r="P88" s="4"/>
      <c r="S88" s="1" t="s">
        <v>131</v>
      </c>
      <c r="T88" s="40"/>
      <c r="U88" s="18"/>
      <c r="V88" s="18"/>
      <c r="W88" s="18"/>
      <c r="X88" s="18"/>
      <c r="Y88" s="18"/>
    </row>
    <row r="89" spans="1:29" s="1" customFormat="1" ht="16.5" customHeight="1" x14ac:dyDescent="0.35">
      <c r="A89" s="2"/>
      <c r="B89" s="5">
        <v>6</v>
      </c>
      <c r="C89" s="3" t="s">
        <v>6</v>
      </c>
      <c r="D89" s="3"/>
      <c r="E89" s="3"/>
      <c r="F89" s="3"/>
      <c r="G89" s="3"/>
      <c r="H89" s="5" t="s">
        <v>3</v>
      </c>
      <c r="I89" s="3" t="str">
        <f>PAK!I15</f>
        <v>Penata (III/c)</v>
      </c>
      <c r="J89" s="3"/>
      <c r="K89" s="3"/>
      <c r="L89" s="3"/>
      <c r="M89" s="3"/>
      <c r="N89" s="3"/>
      <c r="O89" s="43" t="s">
        <v>89</v>
      </c>
      <c r="P89" s="47">
        <f>PAK!P15</f>
        <v>45200</v>
      </c>
      <c r="S89" s="223" t="s">
        <v>132</v>
      </c>
      <c r="T89" s="40"/>
      <c r="U89" s="42"/>
    </row>
    <row r="90" spans="1:29" s="1" customFormat="1" ht="16.5" customHeight="1" x14ac:dyDescent="0.35">
      <c r="A90" s="2"/>
      <c r="B90" s="5">
        <v>7</v>
      </c>
      <c r="C90" s="3" t="s">
        <v>8</v>
      </c>
      <c r="D90" s="3"/>
      <c r="E90" s="3"/>
      <c r="F90" s="3"/>
      <c r="G90" s="3"/>
      <c r="H90" s="5" t="s">
        <v>3</v>
      </c>
      <c r="I90" s="169" t="str">
        <f>PAK!I16</f>
        <v>Pengelola Sesuatu Ahli Muda</v>
      </c>
      <c r="J90" s="169"/>
      <c r="K90" s="169"/>
      <c r="L90" s="169"/>
      <c r="M90" s="169"/>
      <c r="N90" s="70"/>
      <c r="O90" s="43" t="s">
        <v>89</v>
      </c>
      <c r="P90" s="47">
        <f>PAK!P16</f>
        <v>43943</v>
      </c>
      <c r="S90" s="223" t="s">
        <v>133</v>
      </c>
      <c r="X90" s="41"/>
      <c r="Y90" s="41"/>
    </row>
    <row r="91" spans="1:29" s="1" customFormat="1" ht="16.5" customHeight="1" x14ac:dyDescent="0.35">
      <c r="A91" s="2"/>
      <c r="B91" s="5">
        <v>8</v>
      </c>
      <c r="C91" s="3" t="s">
        <v>9</v>
      </c>
      <c r="D91" s="3"/>
      <c r="E91" s="3"/>
      <c r="F91" s="3"/>
      <c r="G91" s="3"/>
      <c r="H91" s="5" t="s">
        <v>3</v>
      </c>
      <c r="I91" s="169" t="str">
        <f>PAK!I17</f>
        <v>Kantor Pembuat Formulir</v>
      </c>
      <c r="J91" s="169"/>
      <c r="K91" s="169"/>
      <c r="L91" s="169"/>
      <c r="M91" s="169"/>
      <c r="N91" s="169"/>
      <c r="O91" s="169"/>
      <c r="P91" s="170"/>
    </row>
    <row r="92" spans="1:29" s="1" customFormat="1" ht="16.5" customHeight="1" x14ac:dyDescent="0.35">
      <c r="A92" s="111" t="s">
        <v>47</v>
      </c>
      <c r="B92" s="112"/>
      <c r="C92" s="112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  <c r="P92" s="113"/>
      <c r="R92" s="81" t="s">
        <v>18</v>
      </c>
      <c r="S92" s="3" t="s">
        <v>98</v>
      </c>
      <c r="T92" s="3">
        <f>VLOOKUP(I89,S18:AE30,13,FALSE)</f>
        <v>0</v>
      </c>
      <c r="U92" s="4"/>
    </row>
    <row r="93" spans="1:29" s="1" customFormat="1" ht="17.25" customHeight="1" x14ac:dyDescent="0.35">
      <c r="A93" s="2" t="s">
        <v>10</v>
      </c>
      <c r="B93" s="130" t="s">
        <v>0</v>
      </c>
      <c r="C93" s="131"/>
      <c r="D93" s="131"/>
      <c r="E93" s="131"/>
      <c r="F93" s="131"/>
      <c r="G93" s="131"/>
      <c r="H93" s="131"/>
      <c r="I93" s="131"/>
      <c r="J93" s="132"/>
      <c r="K93" s="6" t="s">
        <v>11</v>
      </c>
      <c r="L93" s="2" t="s">
        <v>12</v>
      </c>
      <c r="M93" s="134" t="s">
        <v>13</v>
      </c>
      <c r="N93" s="135"/>
      <c r="O93" s="136"/>
      <c r="P93" s="6" t="s">
        <v>14</v>
      </c>
      <c r="Q93" s="62"/>
      <c r="R93" s="46"/>
      <c r="S93" s="1" t="s">
        <v>61</v>
      </c>
      <c r="T93" s="48">
        <f>K103-M101</f>
        <v>-37.329999999999984</v>
      </c>
      <c r="U93" s="46" t="str">
        <f>IFERROR(IF(T93&lt;0,"Kelebihan","Kekurangan"),"Kelebihan/Kekurangan")</f>
        <v>Kelebihan</v>
      </c>
    </row>
    <row r="94" spans="1:29" s="1" customFormat="1" ht="17.25" customHeight="1" x14ac:dyDescent="0.35">
      <c r="A94" s="24">
        <v>1</v>
      </c>
      <c r="B94" s="165">
        <v>2</v>
      </c>
      <c r="C94" s="166"/>
      <c r="D94" s="166"/>
      <c r="E94" s="166"/>
      <c r="F94" s="166"/>
      <c r="G94" s="166"/>
      <c r="H94" s="166"/>
      <c r="I94" s="166"/>
      <c r="J94" s="167"/>
      <c r="K94" s="60">
        <v>3</v>
      </c>
      <c r="L94" s="24">
        <v>4</v>
      </c>
      <c r="M94" s="195">
        <v>5</v>
      </c>
      <c r="N94" s="196"/>
      <c r="O94" s="197"/>
      <c r="P94" s="60">
        <v>6</v>
      </c>
      <c r="Q94" s="63"/>
      <c r="R94" s="46"/>
      <c r="S94" s="10" t="s">
        <v>90</v>
      </c>
      <c r="T94" s="49">
        <f>IFERROR(M103-M101,"-")</f>
        <v>62.670000000000016</v>
      </c>
      <c r="U94" s="45" t="str">
        <f>IFERROR(IF(T94&lt;0,"Kelebihan","Kekurangan"),"Kelebihan/Kekurangan")</f>
        <v>Kekurangan</v>
      </c>
    </row>
    <row r="95" spans="1:29" s="1" customFormat="1" ht="18" customHeight="1" x14ac:dyDescent="0.35">
      <c r="A95" s="2"/>
      <c r="B95" s="5" t="s">
        <v>15</v>
      </c>
      <c r="C95" s="7" t="s">
        <v>16</v>
      </c>
      <c r="D95" s="3"/>
      <c r="E95" s="3"/>
      <c r="F95" s="3"/>
      <c r="G95" s="3"/>
      <c r="H95" s="3"/>
      <c r="I95" s="3"/>
      <c r="J95" s="3"/>
      <c r="K95" s="6"/>
      <c r="L95" s="2"/>
      <c r="M95" s="134"/>
      <c r="N95" s="135"/>
      <c r="O95" s="136"/>
      <c r="P95" s="6"/>
      <c r="Q95" s="62"/>
      <c r="R95" s="81" t="s">
        <v>19</v>
      </c>
      <c r="S95" s="3" t="s">
        <v>99</v>
      </c>
      <c r="T95" s="3" t="str">
        <f>IF(T92=1,IF(AND(T93&lt;0,T94&lt;0),"Dapat","Tidak Dapat"),IF(T93&lt;0,"Dapat","Tidak Dapat"))</f>
        <v>Dapat</v>
      </c>
      <c r="U95" s="4"/>
      <c r="Z95" s="18"/>
      <c r="AA95" s="18"/>
      <c r="AB95" s="18"/>
      <c r="AC95" s="18"/>
    </row>
    <row r="96" spans="1:29" s="1" customFormat="1" ht="18" customHeight="1" x14ac:dyDescent="0.35">
      <c r="A96" s="2"/>
      <c r="B96" s="5" t="s">
        <v>17</v>
      </c>
      <c r="C96" s="7" t="s">
        <v>56</v>
      </c>
      <c r="D96" s="3"/>
      <c r="E96" s="3"/>
      <c r="F96" s="3"/>
      <c r="G96" s="3"/>
      <c r="H96" s="3"/>
      <c r="I96" s="3"/>
      <c r="J96" s="3"/>
      <c r="K96" s="6"/>
      <c r="L96" s="2"/>
      <c r="M96" s="134"/>
      <c r="N96" s="135"/>
      <c r="O96" s="136"/>
      <c r="P96" s="6"/>
      <c r="Q96" s="62"/>
      <c r="R96" s="46"/>
      <c r="S96" s="1" t="s">
        <v>123</v>
      </c>
      <c r="T96" s="1" t="str">
        <f>VLOOKUP($I$89,S18:AD30,11,FALSE)</f>
        <v/>
      </c>
      <c r="U96" s="46" t="str">
        <f>IF(T96="",""," Jenjang "&amp;T96)</f>
        <v/>
      </c>
    </row>
    <row r="97" spans="1:25" s="1" customFormat="1" ht="18" customHeight="1" x14ac:dyDescent="0.35">
      <c r="A97" s="2"/>
      <c r="B97" s="5" t="s">
        <v>18</v>
      </c>
      <c r="C97" s="7" t="s">
        <v>57</v>
      </c>
      <c r="D97" s="3"/>
      <c r="E97" s="3"/>
      <c r="F97" s="3"/>
      <c r="G97" s="3"/>
      <c r="H97" s="3"/>
      <c r="I97" s="3"/>
      <c r="J97" s="3"/>
      <c r="K97" s="6"/>
      <c r="L97" s="25"/>
      <c r="M97" s="118"/>
      <c r="N97" s="119"/>
      <c r="O97" s="120"/>
      <c r="P97" s="6"/>
      <c r="Q97" s="62"/>
      <c r="R97" s="46"/>
      <c r="S97" s="10" t="s">
        <v>124</v>
      </c>
      <c r="T97" s="10" t="str">
        <f>VLOOKUP($I$89,S18:AD30,12,FALSE)</f>
        <v>Penata Tingkat I (III/d)</v>
      </c>
      <c r="U97" s="45"/>
    </row>
    <row r="98" spans="1:25" s="1" customFormat="1" ht="18" customHeight="1" x14ac:dyDescent="0.35">
      <c r="A98" s="2"/>
      <c r="B98" s="5" t="s">
        <v>19</v>
      </c>
      <c r="C98" s="7" t="s">
        <v>58</v>
      </c>
      <c r="D98" s="3"/>
      <c r="E98" s="3"/>
      <c r="F98" s="3"/>
      <c r="G98" s="3"/>
      <c r="H98" s="3"/>
      <c r="I98" s="3"/>
      <c r="J98" s="3"/>
      <c r="K98" s="6">
        <f>PAK!M58</f>
        <v>112.33</v>
      </c>
      <c r="L98" s="25">
        <f>PAK!M23</f>
        <v>25</v>
      </c>
      <c r="M98" s="115">
        <f>SUM(K98:L98)</f>
        <v>137.32999999999998</v>
      </c>
      <c r="N98" s="116"/>
      <c r="O98" s="117"/>
      <c r="P98" s="6"/>
      <c r="Q98" s="62"/>
    </row>
    <row r="99" spans="1:25" s="1" customFormat="1" ht="18" customHeight="1" x14ac:dyDescent="0.35">
      <c r="A99" s="2"/>
      <c r="B99" s="5" t="s">
        <v>21</v>
      </c>
      <c r="C99" s="7" t="s">
        <v>59</v>
      </c>
      <c r="D99" s="3"/>
      <c r="E99" s="3"/>
      <c r="F99" s="3"/>
      <c r="G99" s="3"/>
      <c r="H99" s="3"/>
      <c r="I99" s="3"/>
      <c r="J99" s="3"/>
      <c r="K99" s="6"/>
      <c r="L99" s="25"/>
      <c r="M99" s="115">
        <f>SUM(K99:L99)</f>
        <v>0</v>
      </c>
      <c r="N99" s="116"/>
      <c r="O99" s="117"/>
      <c r="P99" s="6"/>
      <c r="Q99" s="62"/>
      <c r="R99" s="40" t="s">
        <v>21</v>
      </c>
      <c r="S99" s="1" t="str">
        <f>C99</f>
        <v>AK yang diperoleh dari Peningkatan Pendidikan</v>
      </c>
    </row>
    <row r="100" spans="1:25" s="1" customFormat="1" ht="18" customHeight="1" x14ac:dyDescent="0.35">
      <c r="A100" s="2"/>
      <c r="B100" s="5" t="s">
        <v>63</v>
      </c>
      <c r="C100" s="7" t="s">
        <v>125</v>
      </c>
      <c r="D100" s="3"/>
      <c r="E100" s="3"/>
      <c r="F100" s="3"/>
      <c r="G100" s="3"/>
      <c r="H100" s="3"/>
      <c r="I100" s="3"/>
      <c r="J100" s="3"/>
      <c r="K100" s="6"/>
      <c r="L100" s="25"/>
      <c r="M100" s="118"/>
      <c r="N100" s="119"/>
      <c r="O100" s="120"/>
      <c r="P100" s="6"/>
      <c r="Q100" s="62"/>
      <c r="R100" s="40"/>
      <c r="S100" s="1" t="s">
        <v>100</v>
      </c>
    </row>
    <row r="101" spans="1:25" s="1" customFormat="1" ht="18" customHeight="1" x14ac:dyDescent="0.35">
      <c r="A101" s="134" t="s">
        <v>60</v>
      </c>
      <c r="B101" s="135"/>
      <c r="C101" s="135"/>
      <c r="D101" s="135"/>
      <c r="E101" s="135"/>
      <c r="F101" s="135"/>
      <c r="G101" s="135"/>
      <c r="H101" s="135"/>
      <c r="I101" s="135"/>
      <c r="J101" s="136"/>
      <c r="K101" s="6">
        <f>SUM(K95:K100)</f>
        <v>112.33</v>
      </c>
      <c r="L101" s="25">
        <f>SUM(L95:L100)</f>
        <v>25</v>
      </c>
      <c r="M101" s="121">
        <f>SUM(M95:O100)</f>
        <v>137.32999999999998</v>
      </c>
      <c r="N101" s="122"/>
      <c r="O101" s="123"/>
      <c r="P101" s="6"/>
      <c r="Q101" s="62"/>
      <c r="S101" s="1" t="s">
        <v>101</v>
      </c>
      <c r="T101" s="40" t="s">
        <v>20</v>
      </c>
      <c r="U101" s="1">
        <f>K103</f>
        <v>100</v>
      </c>
    </row>
    <row r="102" spans="1:25" s="1" customFormat="1" ht="18" customHeight="1" x14ac:dyDescent="0.35">
      <c r="A102" s="134" t="s">
        <v>65</v>
      </c>
      <c r="B102" s="135"/>
      <c r="C102" s="135"/>
      <c r="D102" s="135"/>
      <c r="E102" s="135"/>
      <c r="F102" s="135"/>
      <c r="G102" s="135"/>
      <c r="H102" s="135"/>
      <c r="I102" s="135"/>
      <c r="J102" s="136"/>
      <c r="K102" s="114" t="s">
        <v>61</v>
      </c>
      <c r="L102" s="114"/>
      <c r="M102" s="118" t="s">
        <v>62</v>
      </c>
      <c r="N102" s="119"/>
      <c r="O102" s="119"/>
      <c r="P102" s="120"/>
      <c r="Q102" s="64"/>
      <c r="S102" s="1" t="s">
        <v>102</v>
      </c>
      <c r="T102" s="40" t="s">
        <v>20</v>
      </c>
      <c r="U102" s="50">
        <f>U101*25%</f>
        <v>25</v>
      </c>
      <c r="V102" s="50"/>
      <c r="W102" s="50"/>
    </row>
    <row r="103" spans="1:25" s="1" customFormat="1" ht="24" customHeight="1" x14ac:dyDescent="0.35">
      <c r="A103" s="127" t="s">
        <v>22</v>
      </c>
      <c r="B103" s="128"/>
      <c r="C103" s="128"/>
      <c r="D103" s="128"/>
      <c r="E103" s="128"/>
      <c r="F103" s="128"/>
      <c r="G103" s="128"/>
      <c r="H103" s="128"/>
      <c r="I103" s="128"/>
      <c r="J103" s="129"/>
      <c r="K103" s="114">
        <f>VLOOKUP(I89,$S$18:$AD$30,7,FALSE)</f>
        <v>100</v>
      </c>
      <c r="L103" s="114"/>
      <c r="M103" s="189">
        <f>VLOOKUP(I89,$S$18:$AD$30,9,FALSE)</f>
        <v>200</v>
      </c>
      <c r="N103" s="190"/>
      <c r="O103" s="190"/>
      <c r="P103" s="191"/>
      <c r="Q103" s="65"/>
    </row>
    <row r="104" spans="1:25" s="1" customFormat="1" ht="27.75" customHeight="1" x14ac:dyDescent="0.35">
      <c r="A104" s="127" t="str">
        <f>U93&amp;" Angka Kredit yang harus dicapai untuk kenaikan pangkat."</f>
        <v>Kelebihan Angka Kredit yang harus dicapai untuk kenaikan pangkat.</v>
      </c>
      <c r="B104" s="128"/>
      <c r="C104" s="128"/>
      <c r="D104" s="128"/>
      <c r="E104" s="128"/>
      <c r="F104" s="128"/>
      <c r="G104" s="128"/>
      <c r="H104" s="128"/>
      <c r="I104" s="128"/>
      <c r="J104" s="129"/>
      <c r="K104" s="133">
        <f>ABS(K103-M101)</f>
        <v>37.329999999999984</v>
      </c>
      <c r="L104" s="114"/>
      <c r="M104" s="192"/>
      <c r="N104" s="193"/>
      <c r="O104" s="193"/>
      <c r="P104" s="194"/>
      <c r="Q104" s="66"/>
    </row>
    <row r="105" spans="1:25" s="1" customFormat="1" ht="28.5" customHeight="1" x14ac:dyDescent="0.35">
      <c r="A105" s="127" t="str">
        <f>U94&amp;" Angka Kredit yang harus dicapai untuk kenaikan jenjang."</f>
        <v>Kekurangan Angka Kredit yang harus dicapai untuk kenaikan jenjang.</v>
      </c>
      <c r="B105" s="128"/>
      <c r="C105" s="128"/>
      <c r="D105" s="128"/>
      <c r="E105" s="128"/>
      <c r="F105" s="128"/>
      <c r="G105" s="128"/>
      <c r="H105" s="128"/>
      <c r="I105" s="128"/>
      <c r="J105" s="129"/>
      <c r="K105" s="126"/>
      <c r="L105" s="126"/>
      <c r="M105" s="118">
        <f>IF(ISNUMBER(M103),IFERROR(ABS(M103-M101),"-"),"-")</f>
        <v>62.670000000000016</v>
      </c>
      <c r="N105" s="119"/>
      <c r="O105" s="119"/>
      <c r="P105" s="120"/>
      <c r="Q105" s="64"/>
    </row>
    <row r="106" spans="1:25" s="1" customFormat="1" ht="42.75" customHeight="1" x14ac:dyDescent="0.35">
      <c r="A106" s="6" t="s">
        <v>24</v>
      </c>
      <c r="B106" s="108" t="str">
        <f>T95&amp;" dipertimbangkan untuk kenaikan Pangkat/Jenjang Jabatan setingkat lebih tinggi menjadi"&amp;U96&amp;" Pangkat/Golongan Ruang "&amp;T97</f>
        <v>Dapat dipertimbangkan untuk kenaikan Pangkat/Jenjang Jabatan setingkat lebih tinggi menjadi Pangkat/Golongan Ruang Penata Tingkat I (III/d)</v>
      </c>
      <c r="C106" s="109"/>
      <c r="D106" s="109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10"/>
    </row>
    <row r="107" spans="1:25" s="1" customFormat="1" ht="12.75" x14ac:dyDescent="0.35"/>
    <row r="108" spans="1:25" s="1" customFormat="1" x14ac:dyDescent="0.35">
      <c r="A108" s="8" t="s">
        <v>26</v>
      </c>
      <c r="B108" s="9"/>
      <c r="C108" s="9"/>
      <c r="D108" s="9"/>
      <c r="E108" s="9"/>
      <c r="L108" s="14" t="str">
        <f>PAK!L25</f>
        <v>Ditetapkan di</v>
      </c>
      <c r="M108" s="14" t="s">
        <v>3</v>
      </c>
      <c r="N108" s="163" t="str">
        <f>PAK!N25</f>
        <v>Mataram</v>
      </c>
      <c r="O108" s="163"/>
      <c r="P108" s="163"/>
      <c r="Q108" s="41"/>
      <c r="R108" s="12"/>
      <c r="S108" s="12"/>
      <c r="T108" s="12"/>
      <c r="U108" s="12"/>
      <c r="V108" s="12"/>
      <c r="W108" s="12"/>
    </row>
    <row r="109" spans="1:25" s="1" customFormat="1" x14ac:dyDescent="0.35">
      <c r="A109" s="9" t="str">
        <f>IF(OR(I14="Laki-Laki",I14="Pria"),"Sdr.","Sdri.")&amp;" "&amp;I10&amp;"."</f>
        <v>Sdr. Ada Martabat, ST, MT.</v>
      </c>
      <c r="B109" s="9"/>
      <c r="C109" s="9"/>
      <c r="D109" s="9"/>
      <c r="E109" s="9"/>
      <c r="L109" s="14" t="str">
        <f>PAK!L26</f>
        <v>Pada tanggal</v>
      </c>
      <c r="M109" s="14" t="s">
        <v>3</v>
      </c>
      <c r="N109" s="164">
        <f>PAK!N26</f>
        <v>45295</v>
      </c>
      <c r="O109" s="164"/>
      <c r="P109" s="164"/>
      <c r="Q109" s="59"/>
      <c r="R109" s="12"/>
      <c r="S109" s="12"/>
      <c r="T109" s="12"/>
      <c r="U109" s="12"/>
      <c r="V109" s="12"/>
      <c r="W109" s="12"/>
    </row>
    <row r="110" spans="1:25" s="1" customFormat="1" ht="33" customHeight="1" x14ac:dyDescent="0.35">
      <c r="A110" s="9"/>
      <c r="C110" s="9"/>
      <c r="D110" s="9"/>
      <c r="E110" s="9"/>
      <c r="R110" s="12"/>
      <c r="S110" s="12"/>
      <c r="T110" s="12"/>
      <c r="U110" s="12"/>
      <c r="V110" s="12"/>
      <c r="W110" s="12"/>
      <c r="X110" s="12"/>
      <c r="Y110" s="12"/>
    </row>
    <row r="111" spans="1:25" s="1" customFormat="1" x14ac:dyDescent="0.35">
      <c r="A111" s="9"/>
      <c r="C111" s="9"/>
      <c r="D111" s="9"/>
      <c r="E111" s="9"/>
      <c r="R111" s="12"/>
      <c r="S111" s="12"/>
      <c r="T111" s="12"/>
      <c r="U111" s="12"/>
      <c r="V111" s="12"/>
      <c r="W111" s="12"/>
      <c r="X111" s="12"/>
      <c r="Y111" s="12"/>
    </row>
    <row r="112" spans="1:25" s="1" customFormat="1" x14ac:dyDescent="0.35">
      <c r="A112" s="9"/>
      <c r="C112" s="9"/>
      <c r="D112" s="9"/>
      <c r="E112" s="9"/>
      <c r="L112" s="35" t="str">
        <f>PAK!L29</f>
        <v>Robby Del Drago, ST, SH, MT, MH, M.Eng</v>
      </c>
      <c r="M112" s="14"/>
      <c r="N112" s="14"/>
      <c r="R112" s="12"/>
      <c r="S112" s="12"/>
      <c r="T112" s="12"/>
      <c r="U112" s="12"/>
      <c r="V112" s="12"/>
      <c r="W112" s="12"/>
      <c r="X112" s="12"/>
      <c r="Y112" s="12"/>
    </row>
    <row r="113" spans="1:29" s="1" customFormat="1" x14ac:dyDescent="0.35">
      <c r="A113" s="9"/>
      <c r="C113" s="9"/>
      <c r="D113" s="9"/>
      <c r="E113" s="9"/>
      <c r="L113" s="14" t="str">
        <f>PAK!L30</f>
        <v>NIP. 19700101 199001 1 001</v>
      </c>
      <c r="M113" s="14"/>
      <c r="N113" s="14"/>
      <c r="R113" s="12"/>
      <c r="S113" s="12"/>
      <c r="T113" s="12"/>
      <c r="U113" s="12"/>
      <c r="V113" s="12"/>
      <c r="W113" s="12"/>
      <c r="X113" s="12"/>
      <c r="Y113" s="12"/>
    </row>
    <row r="114" spans="1:29" s="1" customFormat="1" x14ac:dyDescent="0.35">
      <c r="A114" s="51" t="s">
        <v>27</v>
      </c>
      <c r="B114" s="51"/>
      <c r="C114" s="51"/>
      <c r="D114" s="51"/>
      <c r="E114" s="51"/>
      <c r="R114" s="12"/>
      <c r="S114" s="12"/>
      <c r="T114" s="12"/>
      <c r="U114" s="12"/>
      <c r="V114" s="12"/>
      <c r="W114" s="12"/>
      <c r="X114" s="12"/>
      <c r="Y114" s="12"/>
    </row>
    <row r="115" spans="1:29" s="1" customFormat="1" x14ac:dyDescent="0.35">
      <c r="A115" s="52" t="s">
        <v>15</v>
      </c>
      <c r="B115" s="53" t="str">
        <f>PAK!B32</f>
        <v>Kepala Lembaga Kebijakan Pengadaan Barang/Jasa Pemerintah Republik Indonesia;</v>
      </c>
      <c r="C115" s="53"/>
      <c r="D115" s="53"/>
      <c r="E115" s="53"/>
      <c r="R115" s="12"/>
      <c r="S115" s="12"/>
      <c r="T115" s="12"/>
      <c r="U115" s="12"/>
      <c r="V115" s="12"/>
      <c r="W115" s="12"/>
      <c r="X115" s="12"/>
      <c r="Y115" s="12"/>
    </row>
    <row r="116" spans="1:29" s="1" customFormat="1" x14ac:dyDescent="0.35">
      <c r="A116" s="52" t="s">
        <v>17</v>
      </c>
      <c r="B116" s="53" t="str">
        <f>PAK!B33</f>
        <v>Kepala Badan Kepegawaian Daerah Provinsi NTB;</v>
      </c>
      <c r="C116" s="53"/>
      <c r="D116" s="53"/>
      <c r="E116" s="53"/>
      <c r="R116" s="12"/>
      <c r="S116" s="12"/>
      <c r="T116" s="12"/>
      <c r="U116" s="12"/>
      <c r="V116" s="12"/>
      <c r="W116" s="12"/>
      <c r="X116" s="12"/>
      <c r="Y116" s="12"/>
    </row>
    <row r="117" spans="1:29" s="1" customFormat="1" x14ac:dyDescent="0.35">
      <c r="A117" s="52" t="s">
        <v>18</v>
      </c>
      <c r="B117" s="53" t="str">
        <f>PAK!B34</f>
        <v>Kepala Kantor Pembuat Formulir NTB;</v>
      </c>
      <c r="C117" s="53"/>
      <c r="D117" s="53"/>
      <c r="E117" s="53"/>
      <c r="R117" s="12"/>
      <c r="S117" s="12"/>
      <c r="T117" s="12"/>
      <c r="U117" s="12"/>
      <c r="V117" s="12"/>
      <c r="W117" s="12"/>
      <c r="X117" s="12"/>
      <c r="Y117" s="12"/>
      <c r="Z117" s="12"/>
      <c r="AA117" s="12"/>
    </row>
    <row r="118" spans="1:29" s="1" customFormat="1" x14ac:dyDescent="0.35">
      <c r="A118" s="54" t="s">
        <v>19</v>
      </c>
      <c r="B118" s="53" t="s">
        <v>105</v>
      </c>
      <c r="C118" s="53"/>
      <c r="D118" s="53"/>
      <c r="E118" s="53"/>
      <c r="R118" s="12"/>
      <c r="S118" s="12"/>
      <c r="T118" s="12"/>
      <c r="U118" s="12"/>
      <c r="V118" s="12"/>
      <c r="W118" s="12"/>
      <c r="X118" s="12"/>
      <c r="Y118" s="12"/>
      <c r="Z118" s="12"/>
      <c r="AA118" s="12"/>
    </row>
    <row r="119" spans="1:29" s="1" customFormat="1" x14ac:dyDescent="0.35">
      <c r="A119" s="53"/>
      <c r="B119" s="53"/>
      <c r="C119" s="53"/>
      <c r="D119" s="53"/>
      <c r="E119" s="53"/>
      <c r="R119" s="12"/>
      <c r="S119" s="12"/>
      <c r="T119" s="12"/>
      <c r="U119" s="12"/>
      <c r="V119" s="12"/>
      <c r="W119" s="12"/>
      <c r="X119" s="12"/>
      <c r="Y119" s="12"/>
      <c r="Z119" s="12"/>
      <c r="AA119" s="12"/>
    </row>
    <row r="120" spans="1:29" s="1" customFormat="1" x14ac:dyDescent="0.35">
      <c r="A120" s="51" t="s">
        <v>28</v>
      </c>
      <c r="B120" s="51" t="s">
        <v>64</v>
      </c>
      <c r="C120" s="51"/>
      <c r="D120" s="51"/>
      <c r="E120" s="51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</row>
  </sheetData>
  <mergeCells count="111">
    <mergeCell ref="AD16:AD17"/>
    <mergeCell ref="S16:S17"/>
    <mergeCell ref="T16:U17"/>
    <mergeCell ref="Y16:Y17"/>
    <mergeCell ref="AA16:AA17"/>
    <mergeCell ref="AB16:AB17"/>
    <mergeCell ref="AC16:AC17"/>
    <mergeCell ref="N26:P26"/>
    <mergeCell ref="N66:P66"/>
    <mergeCell ref="A39:P39"/>
    <mergeCell ref="A22:E22"/>
    <mergeCell ref="A23:E23"/>
    <mergeCell ref="V16:X17"/>
    <mergeCell ref="Z16:Z17"/>
    <mergeCell ref="A40:P40"/>
    <mergeCell ref="B53:P53"/>
    <mergeCell ref="A54:K54"/>
    <mergeCell ref="B43:P43"/>
    <mergeCell ref="J55:K56"/>
    <mergeCell ref="E55:F55"/>
    <mergeCell ref="E56:F56"/>
    <mergeCell ref="M20:P20"/>
    <mergeCell ref="M21:P21"/>
    <mergeCell ref="M22:P22"/>
    <mergeCell ref="N108:P108"/>
    <mergeCell ref="N109:P109"/>
    <mergeCell ref="B94:J94"/>
    <mergeCell ref="I51:P51"/>
    <mergeCell ref="I52:P52"/>
    <mergeCell ref="I50:M50"/>
    <mergeCell ref="I90:M90"/>
    <mergeCell ref="I91:P91"/>
    <mergeCell ref="L54:L56"/>
    <mergeCell ref="M54:P56"/>
    <mergeCell ref="M57:P57"/>
    <mergeCell ref="M58:P58"/>
    <mergeCell ref="M59:P59"/>
    <mergeCell ref="M60:P60"/>
    <mergeCell ref="M61:P61"/>
    <mergeCell ref="M62:P62"/>
    <mergeCell ref="M102:P102"/>
    <mergeCell ref="M103:P103"/>
    <mergeCell ref="M104:P104"/>
    <mergeCell ref="M105:P105"/>
    <mergeCell ref="M93:O93"/>
    <mergeCell ref="M94:O94"/>
    <mergeCell ref="M95:O95"/>
    <mergeCell ref="M96:O96"/>
    <mergeCell ref="A9:P9"/>
    <mergeCell ref="A19:P19"/>
    <mergeCell ref="I16:M16"/>
    <mergeCell ref="I15:M15"/>
    <mergeCell ref="I17:P17"/>
    <mergeCell ref="I18:P18"/>
    <mergeCell ref="I14:M14"/>
    <mergeCell ref="D1:P1"/>
    <mergeCell ref="D2:P2"/>
    <mergeCell ref="D3:P3"/>
    <mergeCell ref="A5:P5"/>
    <mergeCell ref="A6:P6"/>
    <mergeCell ref="G55:I56"/>
    <mergeCell ref="G57:I57"/>
    <mergeCell ref="G58:I58"/>
    <mergeCell ref="G59:I59"/>
    <mergeCell ref="G60:I60"/>
    <mergeCell ref="A62:L62"/>
    <mergeCell ref="J61:K61"/>
    <mergeCell ref="A58:D58"/>
    <mergeCell ref="A59:D59"/>
    <mergeCell ref="A60:D60"/>
    <mergeCell ref="A61:D61"/>
    <mergeCell ref="J59:K59"/>
    <mergeCell ref="J60:K60"/>
    <mergeCell ref="E58:F58"/>
    <mergeCell ref="E59:F59"/>
    <mergeCell ref="E60:F60"/>
    <mergeCell ref="E57:F57"/>
    <mergeCell ref="A57:D57"/>
    <mergeCell ref="E61:F61"/>
    <mergeCell ref="G61:I61"/>
    <mergeCell ref="J57:K57"/>
    <mergeCell ref="J58:K58"/>
    <mergeCell ref="A55:D56"/>
    <mergeCell ref="B106:P106"/>
    <mergeCell ref="A92:P92"/>
    <mergeCell ref="K102:L102"/>
    <mergeCell ref="M98:O98"/>
    <mergeCell ref="M99:O99"/>
    <mergeCell ref="M100:O100"/>
    <mergeCell ref="M101:O101"/>
    <mergeCell ref="A79:P79"/>
    <mergeCell ref="A80:P80"/>
    <mergeCell ref="K105:L105"/>
    <mergeCell ref="K103:L103"/>
    <mergeCell ref="A105:J105"/>
    <mergeCell ref="B93:J93"/>
    <mergeCell ref="K104:L104"/>
    <mergeCell ref="A101:J101"/>
    <mergeCell ref="A102:J102"/>
    <mergeCell ref="A103:J103"/>
    <mergeCell ref="A104:J104"/>
    <mergeCell ref="M97:O97"/>
    <mergeCell ref="M23:P23"/>
    <mergeCell ref="J22:L22"/>
    <mergeCell ref="J23:L23"/>
    <mergeCell ref="J20:L21"/>
    <mergeCell ref="A20:I20"/>
    <mergeCell ref="F21:I21"/>
    <mergeCell ref="F22:I22"/>
    <mergeCell ref="F23:I23"/>
    <mergeCell ref="A21:E21"/>
  </mergeCells>
  <dataValidations count="5">
    <dataValidation type="list" allowBlank="1" sqref="I14" xr:uid="{61EDA037-124E-4C58-8AD9-2572D50AF107}">
      <formula1>"Laki-Laki, Perempuan, Pria, Wanita"</formula1>
    </dataValidation>
    <dataValidation type="list" allowBlank="1" sqref="A23" xr:uid="{D0DE0246-EEA9-48CE-A664-DEAE89872D80}">
      <formula1>$S$10:$S$14</formula1>
    </dataValidation>
    <dataValidation type="list" allowBlank="1" showInputMessage="1" showErrorMessage="1" sqref="I15 U88" xr:uid="{9E8EF40F-3B28-43F2-B956-178C1B45EF16}">
      <formula1>$S$18:$S$30</formula1>
    </dataValidation>
    <dataValidation type="list" allowBlank="1" sqref="G58:I61" xr:uid="{5BDCDAB0-9AA4-4458-8266-FF2184EF93D0}">
      <formula1>$S$10:$S$15</formula1>
    </dataValidation>
    <dataValidation type="list" allowBlank="1" sqref="I16:M16" xr:uid="{7719D154-B4DB-420E-BC8C-B134BDE0C1EA}">
      <formula1>$T$18:$T$30</formula1>
    </dataValidation>
  </dataValidations>
  <printOptions horizontalCentered="1"/>
  <pageMargins left="0.70866141732283472" right="0.31496062992125984" top="0.15748031496062992" bottom="0.74803149606299213" header="0.31496062992125984" footer="0.31496062992125984"/>
  <pageSetup paperSize="14" orientation="portrait" horizontalDpi="0" verticalDpi="0" r:id="rId1"/>
  <rowBreaks count="1" manualBreakCount="1">
    <brk id="37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PAK</vt:lpstr>
      <vt:lpstr>PAK!Print_Area</vt:lpstr>
      <vt:lpstr>PAK!Print_Titles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ika_st</dc:creator>
  <cp:lastModifiedBy>Ika Kurnia Mustika</cp:lastModifiedBy>
  <cp:lastPrinted>2024-01-05T03:42:59Z</cp:lastPrinted>
  <dcterms:created xsi:type="dcterms:W3CDTF">2024-01-03T03:23:28Z</dcterms:created>
  <dcterms:modified xsi:type="dcterms:W3CDTF">2024-01-10T01:22:28Z</dcterms:modified>
</cp:coreProperties>
</file>